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VARGAS 2022\PAUTAS SALARIALES 2022\03 - MARZO 22\"/>
    </mc:Choice>
  </mc:AlternateContent>
  <bookViews>
    <workbookView xWindow="0" yWindow="0" windowWidth="24000" windowHeight="9600"/>
  </bookViews>
  <sheets>
    <sheet name="MARZO 2022 " sheetId="2" r:id="rId1"/>
    <sheet name="base enero 2022 " sheetId="1" r:id="rId2"/>
  </sheets>
  <definedNames>
    <definedName name="_xlnm._FilterDatabase" localSheetId="1" hidden="1">'base enero 2022 '!$AG$5:$BD$94</definedName>
    <definedName name="_xlnm._FilterDatabase" localSheetId="0" hidden="1">'MARZO 2022 '!#REF!</definedName>
    <definedName name="_xlnm.Print_Titles" localSheetId="0">'MARZO 2022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M6" i="2" s="1"/>
  <c r="I7" i="2"/>
  <c r="M7" i="2" s="1"/>
  <c r="I8" i="2"/>
  <c r="I9" i="2"/>
  <c r="I10" i="2"/>
  <c r="M10" i="2" s="1"/>
  <c r="I11" i="2"/>
  <c r="M11" i="2" s="1"/>
  <c r="I12" i="2"/>
  <c r="I14" i="2"/>
  <c r="M14" i="2" s="1"/>
  <c r="I15" i="2"/>
  <c r="M15" i="2" s="1"/>
  <c r="I16" i="2"/>
  <c r="M16" i="2" s="1"/>
  <c r="I17" i="2"/>
  <c r="M17" i="2" s="1"/>
  <c r="I18" i="2"/>
  <c r="M18" i="2" s="1"/>
  <c r="I19" i="2"/>
  <c r="M19" i="2" s="1"/>
  <c r="I20" i="2"/>
  <c r="I21" i="2"/>
  <c r="M21" i="2" s="1"/>
  <c r="I23" i="2"/>
  <c r="M23" i="2" s="1"/>
  <c r="I24" i="2"/>
  <c r="M24" i="2" s="1"/>
  <c r="I25" i="2"/>
  <c r="M25" i="2" s="1"/>
  <c r="I26" i="2"/>
  <c r="I27" i="2"/>
  <c r="M27" i="2" s="1"/>
  <c r="I28" i="2"/>
  <c r="M28" i="2" s="1"/>
  <c r="I29" i="2"/>
  <c r="M29" i="2" s="1"/>
  <c r="I30" i="2"/>
  <c r="M30" i="2" s="1"/>
  <c r="I32" i="2"/>
  <c r="M32" i="2" s="1"/>
  <c r="I33" i="2"/>
  <c r="M33" i="2" s="1"/>
  <c r="I34" i="2"/>
  <c r="I35" i="2"/>
  <c r="I36" i="2"/>
  <c r="M36" i="2" s="1"/>
  <c r="I37" i="2"/>
  <c r="I38" i="2"/>
  <c r="M38" i="2" s="1"/>
  <c r="I39" i="2"/>
  <c r="I41" i="2"/>
  <c r="I42" i="2"/>
  <c r="I43" i="2"/>
  <c r="M43" i="2" s="1"/>
  <c r="I44" i="2"/>
  <c r="I45" i="2"/>
  <c r="M45" i="2" s="1"/>
  <c r="I46" i="2"/>
  <c r="M46" i="2" s="1"/>
  <c r="I47" i="2"/>
  <c r="M47" i="2" s="1"/>
  <c r="I48" i="2"/>
  <c r="M48" i="2" s="1"/>
  <c r="I50" i="2"/>
  <c r="I51" i="2"/>
  <c r="M51" i="2" s="1"/>
  <c r="I52" i="2"/>
  <c r="M52" i="2" s="1"/>
  <c r="I53" i="2"/>
  <c r="M53" i="2" s="1"/>
  <c r="I54" i="2"/>
  <c r="M54" i="2" s="1"/>
  <c r="I55" i="2"/>
  <c r="M55" i="2" s="1"/>
  <c r="I56" i="2"/>
  <c r="I57" i="2"/>
  <c r="M57" i="2" s="1"/>
  <c r="I59" i="2"/>
  <c r="I60" i="2"/>
  <c r="M60" i="2" s="1"/>
  <c r="I61" i="2"/>
  <c r="M61" i="2" s="1"/>
  <c r="I62" i="2"/>
  <c r="I63" i="2"/>
  <c r="M63" i="2" s="1"/>
  <c r="I64" i="2"/>
  <c r="M64" i="2" s="1"/>
  <c r="I65" i="2"/>
  <c r="M65" i="2" s="1"/>
  <c r="I66" i="2"/>
  <c r="I68" i="2"/>
  <c r="M68" i="2" s="1"/>
  <c r="I69" i="2"/>
  <c r="M69" i="2" s="1"/>
  <c r="I70" i="2"/>
  <c r="M70" i="2" s="1"/>
  <c r="I71" i="2"/>
  <c r="I72" i="2"/>
  <c r="M72" i="2" s="1"/>
  <c r="I73" i="2"/>
  <c r="M73" i="2" s="1"/>
  <c r="I74" i="2"/>
  <c r="M74" i="2" s="1"/>
  <c r="I75" i="2"/>
  <c r="I77" i="2"/>
  <c r="M77" i="2" s="1"/>
  <c r="I78" i="2"/>
  <c r="M78" i="2" s="1"/>
  <c r="I79" i="2"/>
  <c r="M79" i="2" s="1"/>
  <c r="I80" i="2"/>
  <c r="I81" i="2"/>
  <c r="M81" i="2" s="1"/>
  <c r="I82" i="2"/>
  <c r="M82" i="2" s="1"/>
  <c r="I83" i="2"/>
  <c r="M83" i="2" s="1"/>
  <c r="I84" i="2"/>
  <c r="I86" i="2"/>
  <c r="I87" i="2"/>
  <c r="M87" i="2" s="1"/>
  <c r="I88" i="2"/>
  <c r="M88" i="2" s="1"/>
  <c r="I89" i="2"/>
  <c r="M89" i="2" s="1"/>
  <c r="I90" i="2"/>
  <c r="M90" i="2" s="1"/>
  <c r="I91" i="2"/>
  <c r="M91" i="2" s="1"/>
  <c r="I92" i="2"/>
  <c r="M92" i="2" s="1"/>
  <c r="I93" i="2"/>
  <c r="M93" i="2" s="1"/>
  <c r="I5" i="2"/>
  <c r="BM77" i="1"/>
  <c r="BK77" i="1"/>
  <c r="BC51" i="1"/>
  <c r="BF2" i="1"/>
  <c r="P93" i="2"/>
  <c r="P92" i="2"/>
  <c r="P91" i="2"/>
  <c r="P90" i="2"/>
  <c r="P89" i="2"/>
  <c r="P88" i="2"/>
  <c r="P87" i="2"/>
  <c r="P86" i="2"/>
  <c r="P85" i="2"/>
  <c r="P84" i="2"/>
  <c r="M84" i="2"/>
  <c r="P83" i="2"/>
  <c r="P82" i="2"/>
  <c r="P81" i="2"/>
  <c r="P80" i="2"/>
  <c r="M80" i="2"/>
  <c r="P79" i="2"/>
  <c r="P78" i="2"/>
  <c r="P77" i="2"/>
  <c r="P76" i="2"/>
  <c r="P75" i="2"/>
  <c r="M75" i="2"/>
  <c r="P74" i="2"/>
  <c r="P73" i="2"/>
  <c r="P72" i="2"/>
  <c r="P71" i="2"/>
  <c r="M71" i="2"/>
  <c r="P70" i="2"/>
  <c r="P69" i="2"/>
  <c r="P68" i="2"/>
  <c r="P67" i="2"/>
  <c r="P66" i="2"/>
  <c r="M66" i="2"/>
  <c r="P65" i="2"/>
  <c r="P64" i="2"/>
  <c r="P63" i="2"/>
  <c r="P62" i="2"/>
  <c r="M62" i="2"/>
  <c r="P61" i="2"/>
  <c r="P60" i="2"/>
  <c r="P59" i="2"/>
  <c r="P58" i="2"/>
  <c r="P57" i="2"/>
  <c r="P56" i="2"/>
  <c r="M56" i="2"/>
  <c r="P55" i="2"/>
  <c r="P54" i="2"/>
  <c r="P53" i="2"/>
  <c r="P52" i="2"/>
  <c r="P51" i="2"/>
  <c r="P50" i="2"/>
  <c r="P49" i="2"/>
  <c r="P48" i="2"/>
  <c r="P47" i="2"/>
  <c r="P46" i="2"/>
  <c r="P45" i="2"/>
  <c r="P44" i="2"/>
  <c r="M44" i="2"/>
  <c r="P43" i="2"/>
  <c r="P42" i="2"/>
  <c r="M42" i="2"/>
  <c r="P41" i="2"/>
  <c r="P40" i="2"/>
  <c r="P39" i="2"/>
  <c r="M39" i="2"/>
  <c r="P38" i="2"/>
  <c r="P37" i="2"/>
  <c r="M37" i="2"/>
  <c r="P36" i="2"/>
  <c r="P35" i="2"/>
  <c r="M35" i="2"/>
  <c r="P34" i="2"/>
  <c r="M34" i="2"/>
  <c r="P33" i="2"/>
  <c r="P32" i="2"/>
  <c r="P31" i="2"/>
  <c r="P30" i="2"/>
  <c r="P29" i="2"/>
  <c r="P28" i="2"/>
  <c r="P27" i="2"/>
  <c r="P26" i="2"/>
  <c r="M26" i="2"/>
  <c r="P25" i="2"/>
  <c r="P24" i="2"/>
  <c r="P23" i="2"/>
  <c r="P22" i="2"/>
  <c r="P21" i="2"/>
  <c r="P20" i="2"/>
  <c r="M20" i="2"/>
  <c r="P19" i="2"/>
  <c r="P18" i="2"/>
  <c r="P17" i="2"/>
  <c r="P16" i="2"/>
  <c r="P15" i="2"/>
  <c r="P14" i="2"/>
  <c r="P13" i="2"/>
  <c r="P12" i="2"/>
  <c r="M12" i="2"/>
  <c r="P11" i="2"/>
  <c r="P10" i="2"/>
  <c r="P9" i="2"/>
  <c r="M9" i="2"/>
  <c r="P8" i="2"/>
  <c r="M8" i="2"/>
  <c r="P7" i="2"/>
  <c r="P6" i="2"/>
  <c r="P5" i="2"/>
  <c r="M5" i="2" l="1"/>
  <c r="M59" i="2"/>
  <c r="M50" i="2"/>
  <c r="M86" i="2"/>
  <c r="M41" i="2"/>
  <c r="AQ1" i="1" l="1"/>
  <c r="AR1" i="1"/>
  <c r="AS1" i="1"/>
  <c r="R6" i="1"/>
  <c r="W6" i="1"/>
  <c r="X6" i="1"/>
  <c r="BC6" i="1"/>
  <c r="BC7" i="1"/>
  <c r="R8" i="1"/>
  <c r="W8" i="1"/>
  <c r="X8" i="1" s="1"/>
  <c r="Y8" i="1" s="1"/>
  <c r="Z8" i="1" s="1"/>
  <c r="BC8" i="1"/>
  <c r="R9" i="1"/>
  <c r="W9" i="1"/>
  <c r="BC9" i="1"/>
  <c r="R10" i="1"/>
  <c r="W10" i="1"/>
  <c r="X10" i="1" s="1"/>
  <c r="BC10" i="1"/>
  <c r="R11" i="1"/>
  <c r="W11" i="1"/>
  <c r="X11" i="1" s="1"/>
  <c r="BC11" i="1"/>
  <c r="R12" i="1"/>
  <c r="W12" i="1"/>
  <c r="X12" i="1" s="1"/>
  <c r="Y12" i="1" s="1"/>
  <c r="Z12" i="1" s="1"/>
  <c r="BC12" i="1"/>
  <c r="R13" i="1"/>
  <c r="W13" i="1"/>
  <c r="X13" i="1" s="1"/>
  <c r="BB13" i="1"/>
  <c r="BC13" i="1"/>
  <c r="AL14" i="1"/>
  <c r="AM14" i="1" s="1"/>
  <c r="AU14" i="1"/>
  <c r="AV14" i="1"/>
  <c r="R15" i="1"/>
  <c r="W15" i="1"/>
  <c r="Y15" i="1" s="1"/>
  <c r="Z15" i="1" s="1"/>
  <c r="BC15" i="1"/>
  <c r="R16" i="1"/>
  <c r="W16" i="1"/>
  <c r="Y16" i="1" s="1"/>
  <c r="Z16" i="1" s="1"/>
  <c r="AA16" i="1"/>
  <c r="AC16" i="1" s="1"/>
  <c r="BC16" i="1"/>
  <c r="R17" i="1"/>
  <c r="S17" i="1" s="1"/>
  <c r="W17" i="1"/>
  <c r="Y17" i="1" s="1"/>
  <c r="Z17" i="1" s="1"/>
  <c r="BB17" i="1"/>
  <c r="BD17" i="1" s="1"/>
  <c r="BC17" i="1"/>
  <c r="R18" i="1"/>
  <c r="W18" i="1"/>
  <c r="Y18" i="1" s="1"/>
  <c r="Z18" i="1" s="1"/>
  <c r="BC18" i="1"/>
  <c r="R19" i="1"/>
  <c r="AS19" i="1" s="1"/>
  <c r="S19" i="1"/>
  <c r="W19" i="1"/>
  <c r="Y19" i="1" s="1"/>
  <c r="Z19" i="1" s="1"/>
  <c r="BC19" i="1"/>
  <c r="R20" i="1"/>
  <c r="W20" i="1"/>
  <c r="Y20" i="1" s="1"/>
  <c r="Z20" i="1" s="1"/>
  <c r="BC20" i="1"/>
  <c r="R21" i="1"/>
  <c r="W21" i="1"/>
  <c r="Y21" i="1" s="1"/>
  <c r="Z21" i="1" s="1"/>
  <c r="BC21" i="1"/>
  <c r="R22" i="1"/>
  <c r="AD22" i="1" s="1"/>
  <c r="W22" i="1"/>
  <c r="Y22" i="1" s="1"/>
  <c r="Z22" i="1" s="1"/>
  <c r="BC22" i="1"/>
  <c r="AL23" i="1"/>
  <c r="AM23" i="1" s="1"/>
  <c r="AQ23" i="1"/>
  <c r="AU23" i="1" s="1"/>
  <c r="R24" i="1"/>
  <c r="W24" i="1"/>
  <c r="Y24" i="1" s="1"/>
  <c r="Z24" i="1" s="1"/>
  <c r="BC24" i="1"/>
  <c r="R25" i="1"/>
  <c r="BF25" i="1" s="1"/>
  <c r="W25" i="1"/>
  <c r="Y25" i="1" s="1"/>
  <c r="Z25" i="1" s="1"/>
  <c r="BC25" i="1"/>
  <c r="R26" i="1"/>
  <c r="W26" i="1"/>
  <c r="Y26" i="1" s="1"/>
  <c r="Z26" i="1" s="1"/>
  <c r="BC26" i="1"/>
  <c r="R27" i="1"/>
  <c r="W27" i="1"/>
  <c r="Y27" i="1" s="1"/>
  <c r="Z27" i="1" s="1"/>
  <c r="BC27" i="1"/>
  <c r="R28" i="1"/>
  <c r="W28" i="1"/>
  <c r="Y28" i="1" s="1"/>
  <c r="Z28" i="1" s="1"/>
  <c r="BC28" i="1"/>
  <c r="R29" i="1"/>
  <c r="W29" i="1"/>
  <c r="Y29" i="1" s="1"/>
  <c r="Z29" i="1" s="1"/>
  <c r="BC29" i="1"/>
  <c r="R30" i="1"/>
  <c r="BF30" i="1" s="1"/>
  <c r="W30" i="1"/>
  <c r="Y30" i="1" s="1"/>
  <c r="Z30" i="1" s="1"/>
  <c r="BC30" i="1"/>
  <c r="R31" i="1"/>
  <c r="BB31" i="1" s="1"/>
  <c r="W31" i="1"/>
  <c r="Y31" i="1" s="1"/>
  <c r="Z31" i="1" s="1"/>
  <c r="BC31" i="1"/>
  <c r="AL32" i="1"/>
  <c r="AN32" i="1" s="1"/>
  <c r="AO32" i="1" s="1"/>
  <c r="AP32" i="1" s="1"/>
  <c r="AQ32" i="1"/>
  <c r="AU32" i="1" s="1"/>
  <c r="R33" i="1"/>
  <c r="W33" i="1"/>
  <c r="Y33" i="1" s="1"/>
  <c r="Z33" i="1" s="1"/>
  <c r="BC33" i="1"/>
  <c r="R34" i="1"/>
  <c r="BF34" i="1" s="1"/>
  <c r="W34" i="1"/>
  <c r="Y34" i="1" s="1"/>
  <c r="Z34" i="1" s="1"/>
  <c r="AQ34" i="1"/>
  <c r="BC34" i="1"/>
  <c r="R35" i="1"/>
  <c r="W35" i="1"/>
  <c r="Y35" i="1" s="1"/>
  <c r="Z35" i="1" s="1"/>
  <c r="BC35" i="1"/>
  <c r="R36" i="1"/>
  <c r="W36" i="1"/>
  <c r="Y36" i="1" s="1"/>
  <c r="Z36" i="1" s="1"/>
  <c r="BC36" i="1"/>
  <c r="R37" i="1"/>
  <c r="W37" i="1"/>
  <c r="Y37" i="1" s="1"/>
  <c r="Z37" i="1" s="1"/>
  <c r="BC37" i="1"/>
  <c r="R38" i="1"/>
  <c r="W38" i="1"/>
  <c r="Y38" i="1" s="1"/>
  <c r="Z38" i="1" s="1"/>
  <c r="BC38" i="1"/>
  <c r="R39" i="1"/>
  <c r="BF39" i="1" s="1"/>
  <c r="W39" i="1"/>
  <c r="Y39" i="1" s="1"/>
  <c r="Z39" i="1" s="1"/>
  <c r="BC39" i="1"/>
  <c r="R40" i="1"/>
  <c r="W40" i="1"/>
  <c r="Y40" i="1" s="1"/>
  <c r="Z40" i="1" s="1"/>
  <c r="AQ40" i="1"/>
  <c r="BC40" i="1"/>
  <c r="AL41" i="1"/>
  <c r="AM41" i="1" s="1"/>
  <c r="AQ41" i="1"/>
  <c r="AU41" i="1" s="1"/>
  <c r="AS41" i="1"/>
  <c r="R42" i="1"/>
  <c r="BF42" i="1" s="1"/>
  <c r="W42" i="1"/>
  <c r="Y42" i="1" s="1"/>
  <c r="Z42" i="1" s="1"/>
  <c r="BC42" i="1"/>
  <c r="R43" i="1"/>
  <c r="W43" i="1"/>
  <c r="Y43" i="1" s="1"/>
  <c r="Z43" i="1" s="1"/>
  <c r="BC43" i="1"/>
  <c r="R44" i="1"/>
  <c r="W44" i="1"/>
  <c r="Y44" i="1" s="1"/>
  <c r="Z44" i="1" s="1"/>
  <c r="BC44" i="1"/>
  <c r="R45" i="1"/>
  <c r="W45" i="1"/>
  <c r="Y45" i="1" s="1"/>
  <c r="Z45" i="1" s="1"/>
  <c r="BC45" i="1"/>
  <c r="R46" i="1"/>
  <c r="W46" i="1"/>
  <c r="Y46" i="1" s="1"/>
  <c r="Z46" i="1" s="1"/>
  <c r="BC46" i="1"/>
  <c r="R47" i="1"/>
  <c r="AQ47" i="1" s="1"/>
  <c r="AU47" i="1" s="1"/>
  <c r="W47" i="1"/>
  <c r="Y47" i="1" s="1"/>
  <c r="Z47" i="1" s="1"/>
  <c r="BC47" i="1"/>
  <c r="R48" i="1"/>
  <c r="W48" i="1"/>
  <c r="Y48" i="1" s="1"/>
  <c r="Z48" i="1" s="1"/>
  <c r="BC48" i="1"/>
  <c r="R49" i="1"/>
  <c r="AQ49" i="1" s="1"/>
  <c r="W49" i="1"/>
  <c r="Y49" i="1" s="1"/>
  <c r="Z49" i="1" s="1"/>
  <c r="BC49" i="1"/>
  <c r="AL50" i="1"/>
  <c r="AQ50" i="1"/>
  <c r="AU50" i="1" s="1"/>
  <c r="R51" i="1"/>
  <c r="W51" i="1"/>
  <c r="Y51" i="1" s="1"/>
  <c r="Z51" i="1" s="1"/>
  <c r="R52" i="1"/>
  <c r="S52" i="1" s="1"/>
  <c r="W52" i="1"/>
  <c r="Y52" i="1" s="1"/>
  <c r="Z52" i="1" s="1"/>
  <c r="BC52" i="1"/>
  <c r="R53" i="1"/>
  <c r="BF53" i="1" s="1"/>
  <c r="S53" i="1"/>
  <c r="AE53" i="1" s="1"/>
  <c r="W53" i="1"/>
  <c r="Y53" i="1" s="1"/>
  <c r="Z53" i="1" s="1"/>
  <c r="AD53" i="1"/>
  <c r="AQ53" i="1"/>
  <c r="BC53" i="1"/>
  <c r="R54" i="1"/>
  <c r="W54" i="1"/>
  <c r="Y54" i="1" s="1"/>
  <c r="Z54" i="1" s="1"/>
  <c r="BC54" i="1"/>
  <c r="R55" i="1"/>
  <c r="W55" i="1"/>
  <c r="Y55" i="1" s="1"/>
  <c r="Z55" i="1" s="1"/>
  <c r="BC55" i="1"/>
  <c r="R56" i="1"/>
  <c r="BF56" i="1" s="1"/>
  <c r="W56" i="1"/>
  <c r="Y56" i="1" s="1"/>
  <c r="Z56" i="1" s="1"/>
  <c r="BC56" i="1"/>
  <c r="R57" i="1"/>
  <c r="W57" i="1"/>
  <c r="Y57" i="1" s="1"/>
  <c r="Z57" i="1" s="1"/>
  <c r="BC57" i="1"/>
  <c r="R58" i="1"/>
  <c r="W58" i="1"/>
  <c r="Y58" i="1" s="1"/>
  <c r="Z58" i="1" s="1"/>
  <c r="BC58" i="1"/>
  <c r="AL59" i="1"/>
  <c r="AQ59" i="1"/>
  <c r="AU59" i="1" s="1"/>
  <c r="AS59" i="1"/>
  <c r="R60" i="1"/>
  <c r="W60" i="1"/>
  <c r="Y60" i="1" s="1"/>
  <c r="Z60" i="1" s="1"/>
  <c r="BC60" i="1"/>
  <c r="R61" i="1"/>
  <c r="S61" i="1" s="1"/>
  <c r="W61" i="1"/>
  <c r="Y61" i="1" s="1"/>
  <c r="Z61" i="1" s="1"/>
  <c r="AD61" i="1"/>
  <c r="AL61" i="1"/>
  <c r="AN61" i="1" s="1"/>
  <c r="AV61" i="1" s="1"/>
  <c r="BC61" i="1"/>
  <c r="R62" i="1"/>
  <c r="W62" i="1"/>
  <c r="Y62" i="1" s="1"/>
  <c r="Z62" i="1" s="1"/>
  <c r="BC62" i="1"/>
  <c r="R63" i="1"/>
  <c r="W63" i="1"/>
  <c r="Y63" i="1" s="1"/>
  <c r="Z63" i="1" s="1"/>
  <c r="BC63" i="1"/>
  <c r="R64" i="1"/>
  <c r="W64" i="1"/>
  <c r="Y64" i="1" s="1"/>
  <c r="Z64" i="1" s="1"/>
  <c r="BC64" i="1"/>
  <c r="R65" i="1"/>
  <c r="W65" i="1"/>
  <c r="Y65" i="1" s="1"/>
  <c r="Z65" i="1" s="1"/>
  <c r="BB65" i="1"/>
  <c r="BC65" i="1"/>
  <c r="R66" i="1"/>
  <c r="W66" i="1"/>
  <c r="Y66" i="1"/>
  <c r="Z66" i="1" s="1"/>
  <c r="BC66" i="1"/>
  <c r="R67" i="1"/>
  <c r="W67" i="1"/>
  <c r="Y67" i="1" s="1"/>
  <c r="Z67" i="1" s="1"/>
  <c r="BC67" i="1"/>
  <c r="AL68" i="1"/>
  <c r="AQ68" i="1"/>
  <c r="AU68" i="1" s="1"/>
  <c r="AS68" i="1"/>
  <c r="R69" i="1"/>
  <c r="W69" i="1"/>
  <c r="Y69" i="1"/>
  <c r="Z69" i="1"/>
  <c r="BC69" i="1"/>
  <c r="R70" i="1"/>
  <c r="W70" i="1"/>
  <c r="Y70" i="1" s="1"/>
  <c r="Z70" i="1" s="1"/>
  <c r="BC70" i="1"/>
  <c r="R71" i="1"/>
  <c r="W71" i="1"/>
  <c r="Y71" i="1"/>
  <c r="Z71" i="1" s="1"/>
  <c r="BC71" i="1"/>
  <c r="R72" i="1"/>
  <c r="W72" i="1"/>
  <c r="Y72" i="1" s="1"/>
  <c r="Z72" i="1" s="1"/>
  <c r="BC72" i="1"/>
  <c r="R73" i="1"/>
  <c r="W73" i="1"/>
  <c r="Y73" i="1" s="1"/>
  <c r="Z73" i="1" s="1"/>
  <c r="BC73" i="1"/>
  <c r="R74" i="1"/>
  <c r="W74" i="1"/>
  <c r="Y74" i="1" s="1"/>
  <c r="Z74" i="1" s="1"/>
  <c r="BC74" i="1"/>
  <c r="R75" i="1"/>
  <c r="W75" i="1"/>
  <c r="Y75" i="1" s="1"/>
  <c r="Z75" i="1" s="1"/>
  <c r="BC75" i="1"/>
  <c r="R76" i="1"/>
  <c r="W76" i="1"/>
  <c r="Y76" i="1" s="1"/>
  <c r="Z76" i="1" s="1"/>
  <c r="BC76" i="1"/>
  <c r="AL77" i="1"/>
  <c r="AN77" i="1" s="1"/>
  <c r="AM77" i="1"/>
  <c r="AQ77" i="1"/>
  <c r="AU77" i="1" s="1"/>
  <c r="AS77" i="1"/>
  <c r="R78" i="1"/>
  <c r="W78" i="1"/>
  <c r="Y78" i="1" s="1"/>
  <c r="Z78" i="1" s="1"/>
  <c r="BC78" i="1"/>
  <c r="R79" i="1"/>
  <c r="W79" i="1"/>
  <c r="Y79" i="1" s="1"/>
  <c r="Z79" i="1" s="1"/>
  <c r="BC79" i="1"/>
  <c r="R80" i="1"/>
  <c r="S80" i="1" s="1"/>
  <c r="W80" i="1"/>
  <c r="Y80" i="1" s="1"/>
  <c r="Z80" i="1" s="1"/>
  <c r="BC80" i="1"/>
  <c r="R81" i="1"/>
  <c r="W81" i="1"/>
  <c r="Y81" i="1"/>
  <c r="Z81" i="1" s="1"/>
  <c r="BC81" i="1"/>
  <c r="R82" i="1"/>
  <c r="S82" i="1"/>
  <c r="W82" i="1"/>
  <c r="Y82" i="1" s="1"/>
  <c r="Z82" i="1" s="1"/>
  <c r="AD82" i="1"/>
  <c r="AS82" i="1"/>
  <c r="BC82" i="1"/>
  <c r="R83" i="1"/>
  <c r="W83" i="1"/>
  <c r="Y83" i="1" s="1"/>
  <c r="Z83" i="1" s="1"/>
  <c r="BC83" i="1"/>
  <c r="R84" i="1"/>
  <c r="W84" i="1"/>
  <c r="Y84" i="1" s="1"/>
  <c r="Z84" i="1" s="1"/>
  <c r="BC84" i="1"/>
  <c r="R85" i="1"/>
  <c r="W85" i="1"/>
  <c r="Y85" i="1" s="1"/>
  <c r="Z85" i="1" s="1"/>
  <c r="BC85" i="1"/>
  <c r="AL86" i="1"/>
  <c r="AM86" i="1" s="1"/>
  <c r="AQ86" i="1"/>
  <c r="AU86" i="1" s="1"/>
  <c r="AS86" i="1"/>
  <c r="R87" i="1"/>
  <c r="W87" i="1"/>
  <c r="Y87" i="1" s="1"/>
  <c r="Z87" i="1" s="1"/>
  <c r="BC87" i="1"/>
  <c r="R88" i="1"/>
  <c r="W88" i="1"/>
  <c r="Y88" i="1" s="1"/>
  <c r="Z88" i="1" s="1"/>
  <c r="BC88" i="1"/>
  <c r="R89" i="1"/>
  <c r="W89" i="1"/>
  <c r="Y89" i="1"/>
  <c r="Z89" i="1" s="1"/>
  <c r="BC89" i="1"/>
  <c r="R90" i="1"/>
  <c r="W90" i="1"/>
  <c r="Y90" i="1" s="1"/>
  <c r="Z90" i="1" s="1"/>
  <c r="BC90" i="1"/>
  <c r="R91" i="1"/>
  <c r="W91" i="1"/>
  <c r="Y91" i="1"/>
  <c r="Z91" i="1"/>
  <c r="BC91" i="1"/>
  <c r="R92" i="1"/>
  <c r="W92" i="1"/>
  <c r="Y92" i="1" s="1"/>
  <c r="Z92" i="1" s="1"/>
  <c r="BC92" i="1"/>
  <c r="R93" i="1"/>
  <c r="S93" i="1"/>
  <c r="W93" i="1"/>
  <c r="Y93" i="1" s="1"/>
  <c r="Z93" i="1" s="1"/>
  <c r="AQ93" i="1"/>
  <c r="AU93" i="1" s="1"/>
  <c r="BC93" i="1"/>
  <c r="R94" i="1"/>
  <c r="W94" i="1"/>
  <c r="Y94" i="1" s="1"/>
  <c r="Z94" i="1" s="1"/>
  <c r="BC94" i="1"/>
  <c r="D95" i="1"/>
  <c r="AD80" i="1" l="1"/>
  <c r="AQ17" i="1"/>
  <c r="AU17" i="1" s="1"/>
  <c r="AE82" i="1"/>
  <c r="AS52" i="1"/>
  <c r="AL52" i="1"/>
  <c r="AN52" i="1" s="1"/>
  <c r="AV52" i="1" s="1"/>
  <c r="AL22" i="1"/>
  <c r="AN22" i="1" s="1"/>
  <c r="AV22" i="1" s="1"/>
  <c r="AS91" i="1"/>
  <c r="BF91" i="1"/>
  <c r="AS69" i="1"/>
  <c r="BF69" i="1"/>
  <c r="AS58" i="1"/>
  <c r="BF58" i="1"/>
  <c r="BB51" i="1"/>
  <c r="BD51" i="1" s="1"/>
  <c r="BF51" i="1"/>
  <c r="S46" i="1"/>
  <c r="BF46" i="1"/>
  <c r="AS37" i="1"/>
  <c r="BF37" i="1"/>
  <c r="AS26" i="1"/>
  <c r="BF26" i="1"/>
  <c r="BB16" i="1"/>
  <c r="BD16" i="1" s="1"/>
  <c r="BF16" i="1"/>
  <c r="AL93" i="1"/>
  <c r="AN93" i="1" s="1"/>
  <c r="AV93" i="1" s="1"/>
  <c r="AW93" i="1" s="1"/>
  <c r="BF93" i="1"/>
  <c r="AQ85" i="1"/>
  <c r="BF85" i="1"/>
  <c r="AL79" i="1"/>
  <c r="AN79" i="1" s="1"/>
  <c r="BF79" i="1"/>
  <c r="S74" i="1"/>
  <c r="BF74" i="1"/>
  <c r="AS61" i="1"/>
  <c r="BF61" i="1"/>
  <c r="AQ52" i="1"/>
  <c r="AU52" i="1" s="1"/>
  <c r="BF52" i="1"/>
  <c r="AL40" i="1"/>
  <c r="AN40" i="1" s="1"/>
  <c r="AV40" i="1" s="1"/>
  <c r="BF40" i="1"/>
  <c r="S29" i="1"/>
  <c r="BF29" i="1"/>
  <c r="AL27" i="1"/>
  <c r="AN27" i="1" s="1"/>
  <c r="AV27" i="1" s="1"/>
  <c r="BF27" i="1"/>
  <c r="AL21" i="1"/>
  <c r="AN21" i="1" s="1"/>
  <c r="AV21" i="1" s="1"/>
  <c r="BF21" i="1"/>
  <c r="S12" i="1"/>
  <c r="BF12" i="1"/>
  <c r="S11" i="1"/>
  <c r="BF11" i="1"/>
  <c r="AL94" i="1"/>
  <c r="AN94" i="1" s="1"/>
  <c r="AV94" i="1" s="1"/>
  <c r="BF94" i="1"/>
  <c r="AQ88" i="1"/>
  <c r="AU88" i="1" s="1"/>
  <c r="BF88" i="1"/>
  <c r="AS87" i="1"/>
  <c r="BF87" i="1"/>
  <c r="AN86" i="1"/>
  <c r="AL82" i="1"/>
  <c r="AN82" i="1" s="1"/>
  <c r="BF82" i="1"/>
  <c r="S81" i="1"/>
  <c r="BF81" i="1"/>
  <c r="S70" i="1"/>
  <c r="BF70" i="1"/>
  <c r="S67" i="1"/>
  <c r="BF67" i="1"/>
  <c r="S64" i="1"/>
  <c r="BF64" i="1"/>
  <c r="S63" i="1"/>
  <c r="BF63" i="1"/>
  <c r="AQ62" i="1"/>
  <c r="AU62" i="1" s="1"/>
  <c r="BF62" i="1"/>
  <c r="BB55" i="1"/>
  <c r="BD55" i="1" s="1"/>
  <c r="BF55" i="1"/>
  <c r="AD52" i="1"/>
  <c r="AL48" i="1"/>
  <c r="AN48" i="1" s="1"/>
  <c r="AV48" i="1" s="1"/>
  <c r="BF48" i="1"/>
  <c r="AN41" i="1"/>
  <c r="AV41" i="1" s="1"/>
  <c r="AW41" i="1" s="1"/>
  <c r="AL34" i="1"/>
  <c r="AN34" i="1" s="1"/>
  <c r="AV34" i="1" s="1"/>
  <c r="AL29" i="1"/>
  <c r="AN29" i="1" s="1"/>
  <c r="AV29" i="1" s="1"/>
  <c r="AQ27" i="1"/>
  <c r="AU27" i="1" s="1"/>
  <c r="AN23" i="1"/>
  <c r="AO23" i="1" s="1"/>
  <c r="AP23" i="1" s="1"/>
  <c r="S13" i="1"/>
  <c r="BF13" i="1"/>
  <c r="S8" i="1"/>
  <c r="BF8" i="1"/>
  <c r="Y6" i="1"/>
  <c r="Z6" i="1" s="1"/>
  <c r="AS84" i="1"/>
  <c r="BF84" i="1"/>
  <c r="AS73" i="1"/>
  <c r="BF73" i="1"/>
  <c r="AQ69" i="1"/>
  <c r="AL60" i="1"/>
  <c r="AN60" i="1" s="1"/>
  <c r="AV60" i="1" s="1"/>
  <c r="BF60" i="1"/>
  <c r="S47" i="1"/>
  <c r="AO47" i="1" s="1"/>
  <c r="AP47" i="1" s="1"/>
  <c r="BF47" i="1"/>
  <c r="S38" i="1"/>
  <c r="BF38" i="1"/>
  <c r="AQ36" i="1"/>
  <c r="AU36" i="1" s="1"/>
  <c r="AW36" i="1" s="1"/>
  <c r="BF36" i="1"/>
  <c r="AS33" i="1"/>
  <c r="BF33" i="1"/>
  <c r="S28" i="1"/>
  <c r="BF28" i="1"/>
  <c r="AQ24" i="1"/>
  <c r="BF24" i="1"/>
  <c r="AL20" i="1"/>
  <c r="AN20" i="1" s="1"/>
  <c r="AV20" i="1" s="1"/>
  <c r="BF20" i="1"/>
  <c r="AQ10" i="1"/>
  <c r="AU10" i="1" s="1"/>
  <c r="BF10" i="1"/>
  <c r="AD93" i="1"/>
  <c r="AE93" i="1" s="1"/>
  <c r="AQ92" i="1"/>
  <c r="BF92" i="1"/>
  <c r="AS80" i="1"/>
  <c r="BF80" i="1"/>
  <c r="S78" i="1"/>
  <c r="BF78" i="1"/>
  <c r="AL76" i="1"/>
  <c r="AN76" i="1" s="1"/>
  <c r="AV76" i="1" s="1"/>
  <c r="BF76" i="1"/>
  <c r="S75" i="1"/>
  <c r="AE75" i="1" s="1"/>
  <c r="BF75" i="1"/>
  <c r="S31" i="1"/>
  <c r="BF31" i="1"/>
  <c r="BB22" i="1"/>
  <c r="BD22" i="1" s="1"/>
  <c r="BF22" i="1"/>
  <c r="AL19" i="1"/>
  <c r="AN19" i="1" s="1"/>
  <c r="AV19" i="1" s="1"/>
  <c r="BF19" i="1"/>
  <c r="S18" i="1"/>
  <c r="BF18" i="1"/>
  <c r="AR29" i="1"/>
  <c r="AD91" i="1"/>
  <c r="S91" i="1"/>
  <c r="AE91" i="1" s="1"/>
  <c r="AL90" i="1"/>
  <c r="AN90" i="1" s="1"/>
  <c r="AV90" i="1" s="1"/>
  <c r="BF90" i="1"/>
  <c r="AQ89" i="1"/>
  <c r="AU89" i="1" s="1"/>
  <c r="BF89" i="1"/>
  <c r="AL83" i="1"/>
  <c r="AN83" i="1" s="1"/>
  <c r="AV83" i="1" s="1"/>
  <c r="BF83" i="1"/>
  <c r="AQ79" i="1"/>
  <c r="AR76" i="1"/>
  <c r="BB75" i="1"/>
  <c r="BD75" i="1" s="1"/>
  <c r="BH75" i="1" s="1"/>
  <c r="AD73" i="1"/>
  <c r="S73" i="1"/>
  <c r="AL72" i="1"/>
  <c r="AN72" i="1" s="1"/>
  <c r="AV72" i="1" s="1"/>
  <c r="BF72" i="1"/>
  <c r="S71" i="1"/>
  <c r="BF71" i="1"/>
  <c r="AS66" i="1"/>
  <c r="BF66" i="1"/>
  <c r="S65" i="1"/>
  <c r="BF65" i="1"/>
  <c r="AL57" i="1"/>
  <c r="AN57" i="1" s="1"/>
  <c r="AV57" i="1" s="1"/>
  <c r="BF57" i="1"/>
  <c r="S54" i="1"/>
  <c r="BF54" i="1"/>
  <c r="S49" i="1"/>
  <c r="AE49" i="1" s="1"/>
  <c r="BF49" i="1"/>
  <c r="S45" i="1"/>
  <c r="BF45" i="1"/>
  <c r="AS44" i="1"/>
  <c r="BF44" i="1"/>
  <c r="S43" i="1"/>
  <c r="BF43" i="1"/>
  <c r="S35" i="1"/>
  <c r="AE35" i="1" s="1"/>
  <c r="BF35" i="1"/>
  <c r="AM32" i="1"/>
  <c r="AS31" i="1"/>
  <c r="BB21" i="1"/>
  <c r="BD21" i="1" s="1"/>
  <c r="BH21" i="1" s="1"/>
  <c r="AQ18" i="1"/>
  <c r="AD17" i="1"/>
  <c r="AE17" i="1" s="1"/>
  <c r="BF17" i="1"/>
  <c r="BH17" i="1" s="1"/>
  <c r="S15" i="1"/>
  <c r="BF15" i="1"/>
  <c r="S9" i="1"/>
  <c r="BF9" i="1"/>
  <c r="S6" i="1"/>
  <c r="BF6" i="1"/>
  <c r="AR56" i="1"/>
  <c r="AQ56" i="1"/>
  <c r="AU56" i="1" s="1"/>
  <c r="AM68" i="1"/>
  <c r="AN68" i="1"/>
  <c r="AE80" i="1"/>
  <c r="AL54" i="1"/>
  <c r="AN54" i="1" s="1"/>
  <c r="AV54" i="1" s="1"/>
  <c r="AR75" i="1"/>
  <c r="BD65" i="1"/>
  <c r="AL49" i="1"/>
  <c r="AN49" i="1" s="1"/>
  <c r="AV49" i="1" s="1"/>
  <c r="AR42" i="1"/>
  <c r="BB28" i="1"/>
  <c r="BD28" i="1" s="1"/>
  <c r="AD27" i="1"/>
  <c r="AR17" i="1"/>
  <c r="BD13" i="1"/>
  <c r="AR86" i="1"/>
  <c r="AR77" i="1"/>
  <c r="AQ75" i="1"/>
  <c r="AU75" i="1" s="1"/>
  <c r="AR59" i="1"/>
  <c r="AS55" i="1"/>
  <c r="AR52" i="1"/>
  <c r="AR50" i="1"/>
  <c r="BB49" i="1"/>
  <c r="BD49" i="1" s="1"/>
  <c r="BB48" i="1"/>
  <c r="BD48" i="1" s="1"/>
  <c r="AR41" i="1"/>
  <c r="AR32" i="1"/>
  <c r="AL31" i="1"/>
  <c r="AN31" i="1" s="1"/>
  <c r="AV31" i="1" s="1"/>
  <c r="AD28" i="1"/>
  <c r="BB27" i="1"/>
  <c r="BD27" i="1" s="1"/>
  <c r="BH27" i="1" s="1"/>
  <c r="AR23" i="1"/>
  <c r="AS21" i="1"/>
  <c r="AW14" i="1"/>
  <c r="AS13" i="1"/>
  <c r="BB93" i="1"/>
  <c r="BD93" i="1" s="1"/>
  <c r="BH93" i="1" s="1"/>
  <c r="AR83" i="1"/>
  <c r="BB82" i="1"/>
  <c r="BD82" i="1" s="1"/>
  <c r="BB79" i="1"/>
  <c r="BD79" i="1" s="1"/>
  <c r="BH79" i="1" s="1"/>
  <c r="BB76" i="1"/>
  <c r="BD76" i="1" s="1"/>
  <c r="BH76" i="1" s="1"/>
  <c r="AR68" i="1"/>
  <c r="AR66" i="1"/>
  <c r="BB63" i="1"/>
  <c r="BD63" i="1" s="1"/>
  <c r="BH63" i="1" s="1"/>
  <c r="BB60" i="1"/>
  <c r="BD60" i="1" s="1"/>
  <c r="AQ55" i="1"/>
  <c r="AU55" i="1" s="1"/>
  <c r="AQ54" i="1"/>
  <c r="AU54" i="1" s="1"/>
  <c r="AR53" i="1"/>
  <c r="AR49" i="1"/>
  <c r="AQ48" i="1"/>
  <c r="AU48" i="1" s="1"/>
  <c r="AR39" i="1"/>
  <c r="AD31" i="1"/>
  <c r="AR27" i="1"/>
  <c r="AR19" i="1"/>
  <c r="AL17" i="1"/>
  <c r="AN17" i="1" s="1"/>
  <c r="AV17" i="1" s="1"/>
  <c r="Y10" i="1"/>
  <c r="Z10" i="1" s="1"/>
  <c r="BB9" i="1"/>
  <c r="BD9" i="1" s="1"/>
  <c r="AQ87" i="1"/>
  <c r="AD87" i="1"/>
  <c r="S87" i="1"/>
  <c r="AR87" i="1"/>
  <c r="AS60" i="1"/>
  <c r="S24" i="1"/>
  <c r="BB24" i="1"/>
  <c r="BD24" i="1" s="1"/>
  <c r="AD24" i="1"/>
  <c r="AS24" i="1"/>
  <c r="AS93" i="1"/>
  <c r="AR93" i="1"/>
  <c r="AR91" i="1"/>
  <c r="AQ90" i="1"/>
  <c r="AU90" i="1" s="1"/>
  <c r="AW90" i="1" s="1"/>
  <c r="BB90" i="1"/>
  <c r="BD90" i="1" s="1"/>
  <c r="AD90" i="1"/>
  <c r="AS90" i="1"/>
  <c r="AR90" i="1"/>
  <c r="S90" i="1"/>
  <c r="AL89" i="1"/>
  <c r="AN89" i="1" s="1"/>
  <c r="AD89" i="1"/>
  <c r="AR89" i="1"/>
  <c r="BB83" i="1"/>
  <c r="BD83" i="1" s="1"/>
  <c r="AR82" i="1"/>
  <c r="AQ82" i="1"/>
  <c r="AR80" i="1"/>
  <c r="AQ80" i="1"/>
  <c r="AU80" i="1" s="1"/>
  <c r="AS79" i="1"/>
  <c r="S79" i="1"/>
  <c r="AD79" i="1"/>
  <c r="AQ76" i="1"/>
  <c r="AU76" i="1" s="1"/>
  <c r="S76" i="1"/>
  <c r="AS76" i="1"/>
  <c r="AD76" i="1"/>
  <c r="AD75" i="1"/>
  <c r="AR73" i="1"/>
  <c r="AQ73" i="1"/>
  <c r="AU73" i="1" s="1"/>
  <c r="AQ72" i="1"/>
  <c r="BB72" i="1"/>
  <c r="BD72" i="1" s="1"/>
  <c r="AS72" i="1"/>
  <c r="AD72" i="1"/>
  <c r="AR72" i="1"/>
  <c r="S72" i="1"/>
  <c r="AM72" i="1" s="1"/>
  <c r="AD71" i="1"/>
  <c r="AE71" i="1" s="1"/>
  <c r="AR71" i="1"/>
  <c r="AR69" i="1"/>
  <c r="AD66" i="1"/>
  <c r="S66" i="1"/>
  <c r="AD64" i="1"/>
  <c r="AQ61" i="1"/>
  <c r="AU61" i="1" s="1"/>
  <c r="AW61" i="1" s="1"/>
  <c r="BB57" i="1"/>
  <c r="BD57" i="1" s="1"/>
  <c r="AQ57" i="1"/>
  <c r="AU57" i="1" s="1"/>
  <c r="AW57" i="1" s="1"/>
  <c r="AL56" i="1"/>
  <c r="AN56" i="1" s="1"/>
  <c r="AV56" i="1" s="1"/>
  <c r="S56" i="1"/>
  <c r="BB56" i="1"/>
  <c r="BD56" i="1" s="1"/>
  <c r="BH56" i="1" s="1"/>
  <c r="AD56" i="1"/>
  <c r="AS56" i="1"/>
  <c r="AL55" i="1"/>
  <c r="AN55" i="1" s="1"/>
  <c r="AV55" i="1" s="1"/>
  <c r="BB53" i="1"/>
  <c r="BD53" i="1" s="1"/>
  <c r="BH53" i="1" s="1"/>
  <c r="AS53" i="1"/>
  <c r="BB52" i="1"/>
  <c r="AS49" i="1"/>
  <c r="AD49" i="1"/>
  <c r="AL47" i="1"/>
  <c r="AN47" i="1" s="1"/>
  <c r="AV47" i="1" s="1"/>
  <c r="AW47" i="1" s="1"/>
  <c r="AR43" i="1"/>
  <c r="AD36" i="1"/>
  <c r="AR36" i="1"/>
  <c r="AL36" i="1"/>
  <c r="AN36" i="1" s="1"/>
  <c r="AV36" i="1" s="1"/>
  <c r="S36" i="1"/>
  <c r="BB35" i="1"/>
  <c r="BD35" i="1" s="1"/>
  <c r="BH35" i="1" s="1"/>
  <c r="AU34" i="1"/>
  <c r="BB34" i="1"/>
  <c r="BD34" i="1" s="1"/>
  <c r="BH34" i="1" s="1"/>
  <c r="AD34" i="1"/>
  <c r="AS34" i="1"/>
  <c r="AQ33" i="1"/>
  <c r="AU33" i="1" s="1"/>
  <c r="AL33" i="1"/>
  <c r="AN33" i="1" s="1"/>
  <c r="AV33" i="1" s="1"/>
  <c r="BB33" i="1"/>
  <c r="BD33" i="1" s="1"/>
  <c r="AR31" i="1"/>
  <c r="AQ31" i="1"/>
  <c r="AU31" i="1" s="1"/>
  <c r="AD29" i="1"/>
  <c r="AR28" i="1"/>
  <c r="S27" i="1"/>
  <c r="AE27" i="1" s="1"/>
  <c r="BB26" i="1"/>
  <c r="BD26" i="1" s="1"/>
  <c r="AQ26" i="1"/>
  <c r="AU26" i="1" s="1"/>
  <c r="AR24" i="1"/>
  <c r="AQ22" i="1"/>
  <c r="AU22" i="1" s="1"/>
  <c r="AQ21" i="1"/>
  <c r="AU21" i="1" s="1"/>
  <c r="AR20" i="1"/>
  <c r="AU18" i="1"/>
  <c r="AL13" i="1"/>
  <c r="AN13" i="1" s="1"/>
  <c r="AV13" i="1" s="1"/>
  <c r="AQ12" i="1"/>
  <c r="AU12" i="1" s="1"/>
  <c r="AL12" i="1"/>
  <c r="AN12" i="1" s="1"/>
  <c r="AV12" i="1" s="1"/>
  <c r="AL11" i="1"/>
  <c r="AN11" i="1" s="1"/>
  <c r="AD11" i="1"/>
  <c r="BB11" i="1"/>
  <c r="BD11" i="1" s="1"/>
  <c r="BH11" i="1" s="1"/>
  <c r="AS9" i="1"/>
  <c r="AL9" i="1"/>
  <c r="AN9" i="1" s="1"/>
  <c r="AV9" i="1" s="1"/>
  <c r="AW34" i="1"/>
  <c r="AS94" i="1"/>
  <c r="AR63" i="1"/>
  <c r="AD63" i="1"/>
  <c r="AE63" i="1" s="1"/>
  <c r="AR58" i="1"/>
  <c r="AD46" i="1"/>
  <c r="AS45" i="1"/>
  <c r="AR15" i="1"/>
  <c r="AR94" i="1"/>
  <c r="AD94" i="1"/>
  <c r="AS89" i="1"/>
  <c r="S89" i="1"/>
  <c r="AE89" i="1" s="1"/>
  <c r="AR84" i="1"/>
  <c r="AQ83" i="1"/>
  <c r="AU83" i="1" s="1"/>
  <c r="S83" i="1"/>
  <c r="AU82" i="1"/>
  <c r="AR79" i="1"/>
  <c r="BB78" i="1"/>
  <c r="BD78" i="1" s="1"/>
  <c r="AQ78" i="1"/>
  <c r="AU78" i="1" s="1"/>
  <c r="AL75" i="1"/>
  <c r="AN75" i="1" s="1"/>
  <c r="AO75" i="1" s="1"/>
  <c r="AP75" i="1" s="1"/>
  <c r="BB71" i="1"/>
  <c r="BD71" i="1" s="1"/>
  <c r="AQ71" i="1"/>
  <c r="AU71" i="1" s="1"/>
  <c r="AD69" i="1"/>
  <c r="S69" i="1"/>
  <c r="AO69" i="1" s="1"/>
  <c r="AP69" i="1" s="1"/>
  <c r="AQ64" i="1"/>
  <c r="AU64" i="1" s="1"/>
  <c r="AQ63" i="1"/>
  <c r="AQ58" i="1"/>
  <c r="AU58" i="1" s="1"/>
  <c r="AW52" i="1"/>
  <c r="AU49" i="1"/>
  <c r="AR46" i="1"/>
  <c r="AR45" i="1"/>
  <c r="AD45" i="1"/>
  <c r="AE45" i="1" s="1"/>
  <c r="AQ43" i="1"/>
  <c r="AU43" i="1" s="1"/>
  <c r="AS39" i="1"/>
  <c r="AS38" i="1"/>
  <c r="AD38" i="1"/>
  <c r="AE38" i="1" s="1"/>
  <c r="AR35" i="1"/>
  <c r="AR34" i="1"/>
  <c r="S34" i="1"/>
  <c r="AO34" i="1" s="1"/>
  <c r="AP34" i="1" s="1"/>
  <c r="AW31" i="1"/>
  <c r="AQ29" i="1"/>
  <c r="AU29" i="1" s="1"/>
  <c r="AS27" i="1"/>
  <c r="AL26" i="1"/>
  <c r="AN26" i="1" s="1"/>
  <c r="AV26" i="1" s="1"/>
  <c r="AR22" i="1"/>
  <c r="S22" i="1"/>
  <c r="AE22" i="1" s="1"/>
  <c r="AQ20" i="1"/>
  <c r="AU20" i="1" s="1"/>
  <c r="AD15" i="1"/>
  <c r="AE15" i="1" s="1"/>
  <c r="AR11" i="1"/>
  <c r="AR9" i="1"/>
  <c r="AD9" i="1"/>
  <c r="AL8" i="1"/>
  <c r="AN8" i="1" s="1"/>
  <c r="AV8" i="1" s="1"/>
  <c r="AR78" i="1"/>
  <c r="AD78" i="1"/>
  <c r="AL45" i="1"/>
  <c r="AN45" i="1" s="1"/>
  <c r="AV45" i="1" s="1"/>
  <c r="AD43" i="1"/>
  <c r="AL38" i="1"/>
  <c r="AN38" i="1" s="1"/>
  <c r="AV38" i="1" s="1"/>
  <c r="AQ94" i="1"/>
  <c r="AQ84" i="1"/>
  <c r="AU84" i="1" s="1"/>
  <c r="AM82" i="1"/>
  <c r="AL78" i="1"/>
  <c r="AN78" i="1" s="1"/>
  <c r="AV78" i="1" s="1"/>
  <c r="AS75" i="1"/>
  <c r="AL71" i="1"/>
  <c r="AN71" i="1" s="1"/>
  <c r="AU63" i="1"/>
  <c r="AE52" i="1"/>
  <c r="AQ46" i="1"/>
  <c r="AU46" i="1" s="1"/>
  <c r="BB45" i="1"/>
  <c r="BD45" i="1" s="1"/>
  <c r="AQ45" i="1"/>
  <c r="AU45" i="1" s="1"/>
  <c r="AD42" i="1"/>
  <c r="AQ39" i="1"/>
  <c r="AU39" i="1" s="1"/>
  <c r="BB38" i="1"/>
  <c r="BD38" i="1" s="1"/>
  <c r="AR38" i="1"/>
  <c r="AD35" i="1"/>
  <c r="BB19" i="1"/>
  <c r="BD19" i="1" s="1"/>
  <c r="AQ19" i="1"/>
  <c r="AU19" i="1" s="1"/>
  <c r="AD19" i="1"/>
  <c r="AE19" i="1" s="1"/>
  <c r="BB15" i="1"/>
  <c r="BD15" i="1" s="1"/>
  <c r="AA15" i="1"/>
  <c r="AA17" i="1" s="1"/>
  <c r="AR13" i="1"/>
  <c r="AD13" i="1"/>
  <c r="AE13" i="1" s="1"/>
  <c r="AD58" i="1"/>
  <c r="AS46" i="1"/>
  <c r="AD39" i="1"/>
  <c r="AL16" i="1"/>
  <c r="AN16" i="1" s="1"/>
  <c r="AV16" i="1" s="1"/>
  <c r="BB94" i="1"/>
  <c r="BD94" i="1" s="1"/>
  <c r="BH94" i="1" s="1"/>
  <c r="S94" i="1"/>
  <c r="BB89" i="1"/>
  <c r="BD89" i="1" s="1"/>
  <c r="AD84" i="1"/>
  <c r="S84" i="1"/>
  <c r="AS83" i="1"/>
  <c r="AD83" i="1"/>
  <c r="AS78" i="1"/>
  <c r="AS71" i="1"/>
  <c r="AQ66" i="1"/>
  <c r="AU66" i="1" s="1"/>
  <c r="AS63" i="1"/>
  <c r="AL63" i="1"/>
  <c r="AN63" i="1" s="1"/>
  <c r="AV63" i="1" s="1"/>
  <c r="AR61" i="1"/>
  <c r="AQ60" i="1"/>
  <c r="AU60" i="1" s="1"/>
  <c r="AW60" i="1" s="1"/>
  <c r="AL58" i="1"/>
  <c r="AN58" i="1" s="1"/>
  <c r="AV58" i="1" s="1"/>
  <c r="S58" i="1"/>
  <c r="AO58" i="1" s="1"/>
  <c r="AP58" i="1" s="1"/>
  <c r="AS57" i="1"/>
  <c r="BB46" i="1"/>
  <c r="BD46" i="1" s="1"/>
  <c r="AL43" i="1"/>
  <c r="AN43" i="1" s="1"/>
  <c r="AV43" i="1" s="1"/>
  <c r="S39" i="1"/>
  <c r="AQ38" i="1"/>
  <c r="AU38" i="1" s="1"/>
  <c r="AW38" i="1" s="1"/>
  <c r="BB18" i="1"/>
  <c r="BD18" i="1" s="1"/>
  <c r="AL18" i="1"/>
  <c r="AN18" i="1" s="1"/>
  <c r="AV18" i="1" s="1"/>
  <c r="AS15" i="1"/>
  <c r="AM11" i="1"/>
  <c r="AQ8" i="1"/>
  <c r="AU8" i="1" s="1"/>
  <c r="S92" i="1"/>
  <c r="AD92" i="1"/>
  <c r="AR92" i="1"/>
  <c r="AS92" i="1"/>
  <c r="BB92" i="1"/>
  <c r="BD92" i="1" s="1"/>
  <c r="BH92" i="1" s="1"/>
  <c r="AL92" i="1"/>
  <c r="AN92" i="1" s="1"/>
  <c r="AV92" i="1" s="1"/>
  <c r="AU92" i="1"/>
  <c r="S88" i="1"/>
  <c r="AD88" i="1"/>
  <c r="AR88" i="1"/>
  <c r="AS88" i="1"/>
  <c r="BB88" i="1"/>
  <c r="BD88" i="1" s="1"/>
  <c r="AL88" i="1"/>
  <c r="AN88" i="1" s="1"/>
  <c r="AV88" i="1" s="1"/>
  <c r="AO76" i="1"/>
  <c r="AP76" i="1" s="1"/>
  <c r="AV71" i="1"/>
  <c r="AV82" i="1"/>
  <c r="AO82" i="1"/>
  <c r="AP82" i="1" s="1"/>
  <c r="AV89" i="1"/>
  <c r="AW89" i="1" s="1"/>
  <c r="S85" i="1"/>
  <c r="AD85" i="1"/>
  <c r="AR85" i="1"/>
  <c r="AS85" i="1"/>
  <c r="BB85" i="1"/>
  <c r="BD85" i="1" s="1"/>
  <c r="AL85" i="1"/>
  <c r="AN85" i="1" s="1"/>
  <c r="AV85" i="1" s="1"/>
  <c r="AU85" i="1"/>
  <c r="AV79" i="1"/>
  <c r="AO77" i="1"/>
  <c r="AP77" i="1" s="1"/>
  <c r="AV77" i="1"/>
  <c r="AW77" i="1" s="1"/>
  <c r="AQ81" i="1"/>
  <c r="AU81" i="1" s="1"/>
  <c r="AQ70" i="1"/>
  <c r="AU70" i="1" s="1"/>
  <c r="AQ67" i="1"/>
  <c r="AL6" i="1"/>
  <c r="AN6" i="1" s="1"/>
  <c r="AV6" i="1" s="1"/>
  <c r="AD6" i="1"/>
  <c r="AK6" i="1" s="1"/>
  <c r="AQ6" i="1"/>
  <c r="AU6" i="1" s="1"/>
  <c r="AS6" i="1"/>
  <c r="I7" i="1"/>
  <c r="AR6" i="1"/>
  <c r="BB6" i="1"/>
  <c r="BD6" i="1" s="1"/>
  <c r="AQ91" i="1"/>
  <c r="AL81" i="1"/>
  <c r="AN81" i="1" s="1"/>
  <c r="AV81" i="1" s="1"/>
  <c r="AL74" i="1"/>
  <c r="AN74" i="1" s="1"/>
  <c r="AV74" i="1" s="1"/>
  <c r="AL70" i="1"/>
  <c r="AN70" i="1" s="1"/>
  <c r="AV70" i="1" s="1"/>
  <c r="AU67" i="1"/>
  <c r="AL67" i="1"/>
  <c r="AN67" i="1" s="1"/>
  <c r="AV67" i="1" s="1"/>
  <c r="AR65" i="1"/>
  <c r="AL64" i="1"/>
  <c r="AN64" i="1" s="1"/>
  <c r="AV64" i="1" s="1"/>
  <c r="AS62" i="1"/>
  <c r="S44" i="1"/>
  <c r="AD44" i="1"/>
  <c r="AR44" i="1"/>
  <c r="BB44" i="1"/>
  <c r="BD44" i="1" s="1"/>
  <c r="BH44" i="1" s="1"/>
  <c r="AQ44" i="1"/>
  <c r="AU44" i="1" s="1"/>
  <c r="AQ74" i="1"/>
  <c r="AU74" i="1" s="1"/>
  <c r="AU91" i="1"/>
  <c r="AU87" i="1"/>
  <c r="AL87" i="1"/>
  <c r="AN87" i="1" s="1"/>
  <c r="AV87" i="1" s="1"/>
  <c r="AL84" i="1"/>
  <c r="AN84" i="1" s="1"/>
  <c r="AV84" i="1" s="1"/>
  <c r="BB81" i="1"/>
  <c r="BD81" i="1" s="1"/>
  <c r="AS81" i="1"/>
  <c r="AL80" i="1"/>
  <c r="AN80" i="1" s="1"/>
  <c r="AV80" i="1" s="1"/>
  <c r="BB74" i="1"/>
  <c r="BD74" i="1" s="1"/>
  <c r="BH74" i="1" s="1"/>
  <c r="AS74" i="1"/>
  <c r="AL73" i="1"/>
  <c r="AN73" i="1" s="1"/>
  <c r="AV73" i="1" s="1"/>
  <c r="BB70" i="1"/>
  <c r="BD70" i="1" s="1"/>
  <c r="AS70" i="1"/>
  <c r="AU69" i="1"/>
  <c r="AL69" i="1"/>
  <c r="AN69" i="1" s="1"/>
  <c r="AV69" i="1" s="1"/>
  <c r="BB67" i="1"/>
  <c r="BD67" i="1" s="1"/>
  <c r="AS67" i="1"/>
  <c r="AL66" i="1"/>
  <c r="AN66" i="1" s="1"/>
  <c r="AV66" i="1" s="1"/>
  <c r="AQ65" i="1"/>
  <c r="AU65" i="1" s="1"/>
  <c r="AL65" i="1"/>
  <c r="AN65" i="1" s="1"/>
  <c r="AV65" i="1" s="1"/>
  <c r="AS64" i="1"/>
  <c r="AM50" i="1"/>
  <c r="AN50" i="1"/>
  <c r="AL44" i="1"/>
  <c r="AN44" i="1" s="1"/>
  <c r="AV44" i="1" s="1"/>
  <c r="AS65" i="1"/>
  <c r="AE64" i="1"/>
  <c r="S62" i="1"/>
  <c r="AD62" i="1"/>
  <c r="AR62" i="1"/>
  <c r="AL62" i="1"/>
  <c r="AN62" i="1" s="1"/>
  <c r="AV62" i="1" s="1"/>
  <c r="AE61" i="1"/>
  <c r="AO61" i="1"/>
  <c r="AP61" i="1" s="1"/>
  <c r="AM61" i="1"/>
  <c r="S51" i="1"/>
  <c r="AD51" i="1"/>
  <c r="AR51" i="1"/>
  <c r="AL51" i="1"/>
  <c r="AN51" i="1" s="1"/>
  <c r="AV51" i="1" s="1"/>
  <c r="AQ51" i="1"/>
  <c r="AU51" i="1" s="1"/>
  <c r="AS51" i="1"/>
  <c r="AL91" i="1"/>
  <c r="AN91" i="1" s="1"/>
  <c r="AV91" i="1" s="1"/>
  <c r="AU94" i="1"/>
  <c r="BB91" i="1"/>
  <c r="BD91" i="1" s="1"/>
  <c r="BB87" i="1"/>
  <c r="BD87" i="1" s="1"/>
  <c r="BH87" i="1" s="1"/>
  <c r="BB84" i="1"/>
  <c r="BD84" i="1" s="1"/>
  <c r="BH84" i="1" s="1"/>
  <c r="AR81" i="1"/>
  <c r="AD81" i="1"/>
  <c r="BB80" i="1"/>
  <c r="BD80" i="1" s="1"/>
  <c r="BH80" i="1" s="1"/>
  <c r="AU79" i="1"/>
  <c r="AR74" i="1"/>
  <c r="AD74" i="1"/>
  <c r="BB73" i="1"/>
  <c r="BD73" i="1" s="1"/>
  <c r="BH73" i="1" s="1"/>
  <c r="AU72" i="1"/>
  <c r="AR70" i="1"/>
  <c r="AD70" i="1"/>
  <c r="BB69" i="1"/>
  <c r="BD69" i="1" s="1"/>
  <c r="BH69" i="1" s="1"/>
  <c r="AR67" i="1"/>
  <c r="AD67" i="1"/>
  <c r="BB66" i="1"/>
  <c r="BD66" i="1" s="1"/>
  <c r="AD65" i="1"/>
  <c r="BB64" i="1"/>
  <c r="BD64" i="1" s="1"/>
  <c r="BH64" i="1" s="1"/>
  <c r="AR64" i="1"/>
  <c r="BB62" i="1"/>
  <c r="BD62" i="1" s="1"/>
  <c r="AM59" i="1"/>
  <c r="AN59" i="1"/>
  <c r="AR60" i="1"/>
  <c r="AD60" i="1"/>
  <c r="S60" i="1"/>
  <c r="AR57" i="1"/>
  <c r="AD57" i="1"/>
  <c r="S57" i="1"/>
  <c r="S55" i="1"/>
  <c r="AD55" i="1"/>
  <c r="AD54" i="1"/>
  <c r="BD52" i="1"/>
  <c r="BH52" i="1" s="1"/>
  <c r="S48" i="1"/>
  <c r="AD48" i="1"/>
  <c r="AR48" i="1"/>
  <c r="AD47" i="1"/>
  <c r="AE47" i="1" s="1"/>
  <c r="AV32" i="1"/>
  <c r="S30" i="1"/>
  <c r="AD30" i="1"/>
  <c r="AR30" i="1"/>
  <c r="AL30" i="1"/>
  <c r="AN30" i="1" s="1"/>
  <c r="AV30" i="1" s="1"/>
  <c r="AQ30" i="1"/>
  <c r="AU30" i="1" s="1"/>
  <c r="AW30" i="1" s="1"/>
  <c r="BB30" i="1"/>
  <c r="BD30" i="1" s="1"/>
  <c r="BH30" i="1" s="1"/>
  <c r="AS30" i="1"/>
  <c r="AV23" i="1"/>
  <c r="AW23" i="1" s="1"/>
  <c r="AM13" i="1"/>
  <c r="AS54" i="1"/>
  <c r="BB54" i="1"/>
  <c r="BD54" i="1" s="1"/>
  <c r="AS47" i="1"/>
  <c r="BB47" i="1"/>
  <c r="BD47" i="1" s="1"/>
  <c r="BH47" i="1" s="1"/>
  <c r="AL42" i="1"/>
  <c r="AN42" i="1" s="1"/>
  <c r="AV42" i="1" s="1"/>
  <c r="AS42" i="1"/>
  <c r="S42" i="1"/>
  <c r="AQ42" i="1"/>
  <c r="AU42" i="1" s="1"/>
  <c r="AW42" i="1" s="1"/>
  <c r="AS40" i="1"/>
  <c r="BB40" i="1"/>
  <c r="BD40" i="1" s="1"/>
  <c r="AR40" i="1"/>
  <c r="S40" i="1"/>
  <c r="AD40" i="1"/>
  <c r="AV11" i="1"/>
  <c r="BB61" i="1"/>
  <c r="BD61" i="1" s="1"/>
  <c r="BH61" i="1" s="1"/>
  <c r="BB58" i="1"/>
  <c r="BD58" i="1" s="1"/>
  <c r="AR55" i="1"/>
  <c r="AR54" i="1"/>
  <c r="AL53" i="1"/>
  <c r="AN53" i="1" s="1"/>
  <c r="AV53" i="1" s="1"/>
  <c r="AU53" i="1"/>
  <c r="AM52" i="1"/>
  <c r="AS48" i="1"/>
  <c r="AR47" i="1"/>
  <c r="AL46" i="1"/>
  <c r="AN46" i="1" s="1"/>
  <c r="AV46" i="1" s="1"/>
  <c r="BB42" i="1"/>
  <c r="BD42" i="1" s="1"/>
  <c r="BH42" i="1" s="1"/>
  <c r="AU40" i="1"/>
  <c r="S37" i="1"/>
  <c r="AD37" i="1"/>
  <c r="AR37" i="1"/>
  <c r="AL37" i="1"/>
  <c r="AN37" i="1" s="1"/>
  <c r="AV37" i="1" s="1"/>
  <c r="AQ37" i="1"/>
  <c r="AU37" i="1" s="1"/>
  <c r="BB37" i="1"/>
  <c r="BD37" i="1" s="1"/>
  <c r="AW32" i="1"/>
  <c r="AE28" i="1"/>
  <c r="AS25" i="1"/>
  <c r="BB25" i="1"/>
  <c r="BD25" i="1" s="1"/>
  <c r="BH25" i="1" s="1"/>
  <c r="S25" i="1"/>
  <c r="AD25" i="1"/>
  <c r="AL25" i="1"/>
  <c r="AN25" i="1" s="1"/>
  <c r="AV25" i="1" s="1"/>
  <c r="AQ25" i="1"/>
  <c r="AU25" i="1" s="1"/>
  <c r="AW25" i="1" s="1"/>
  <c r="AR25" i="1"/>
  <c r="AS43" i="1"/>
  <c r="BB43" i="1"/>
  <c r="BD43" i="1" s="1"/>
  <c r="BB39" i="1"/>
  <c r="BD39" i="1" s="1"/>
  <c r="BH39" i="1" s="1"/>
  <c r="AS36" i="1"/>
  <c r="BB36" i="1"/>
  <c r="BD36" i="1" s="1"/>
  <c r="BH36" i="1" s="1"/>
  <c r="AQ35" i="1"/>
  <c r="AU35" i="1" s="1"/>
  <c r="BD31" i="1"/>
  <c r="AS29" i="1"/>
  <c r="BB29" i="1"/>
  <c r="BD29" i="1" s="1"/>
  <c r="BH29" i="1" s="1"/>
  <c r="AQ28" i="1"/>
  <c r="AU28" i="1" s="1"/>
  <c r="AL24" i="1"/>
  <c r="AN24" i="1" s="1"/>
  <c r="AV24" i="1" s="1"/>
  <c r="AU24" i="1"/>
  <c r="AL15" i="1"/>
  <c r="AN15" i="1" s="1"/>
  <c r="AV15" i="1" s="1"/>
  <c r="AQ15" i="1"/>
  <c r="AU15" i="1" s="1"/>
  <c r="AD10" i="1"/>
  <c r="AR10" i="1"/>
  <c r="AS10" i="1"/>
  <c r="BB10" i="1"/>
  <c r="BD10" i="1" s="1"/>
  <c r="S10" i="1"/>
  <c r="AL10" i="1"/>
  <c r="AN10" i="1" s="1"/>
  <c r="AV10" i="1" s="1"/>
  <c r="AS17" i="1"/>
  <c r="AS23" i="1"/>
  <c r="AS11" i="1"/>
  <c r="AS18" i="1"/>
  <c r="AS22" i="1"/>
  <c r="AS32" i="1"/>
  <c r="AS50" i="1"/>
  <c r="AL35" i="1"/>
  <c r="AL28" i="1"/>
  <c r="AQ16" i="1"/>
  <c r="AU16" i="1" s="1"/>
  <c r="AD16" i="1"/>
  <c r="AR16" i="1"/>
  <c r="S16" i="1"/>
  <c r="AS16" i="1"/>
  <c r="AB15" i="1"/>
  <c r="AC15" i="1" s="1"/>
  <c r="AC17" i="1" s="1"/>
  <c r="AB20" i="1" s="1"/>
  <c r="X9" i="1"/>
  <c r="Y9" i="1" s="1"/>
  <c r="Z9" i="1" s="1"/>
  <c r="AL39" i="1"/>
  <c r="AN39" i="1" s="1"/>
  <c r="AV39" i="1" s="1"/>
  <c r="AS35" i="1"/>
  <c r="S33" i="1"/>
  <c r="AD33" i="1"/>
  <c r="AR33" i="1"/>
  <c r="AS28" i="1"/>
  <c r="S26" i="1"/>
  <c r="AD26" i="1"/>
  <c r="AR26" i="1"/>
  <c r="AS20" i="1"/>
  <c r="BB20" i="1"/>
  <c r="BD20" i="1" s="1"/>
  <c r="S20" i="1"/>
  <c r="AD20" i="1"/>
  <c r="Y13" i="1"/>
  <c r="Z13" i="1" s="1"/>
  <c r="AM9" i="1"/>
  <c r="AO9" i="1"/>
  <c r="AP9" i="1" s="1"/>
  <c r="S21" i="1"/>
  <c r="AD21" i="1"/>
  <c r="AR21" i="1"/>
  <c r="AD12" i="1"/>
  <c r="AE12" i="1" s="1"/>
  <c r="AR12" i="1"/>
  <c r="AS12" i="1"/>
  <c r="BB12" i="1"/>
  <c r="BD12" i="1" s="1"/>
  <c r="BH12" i="1" s="1"/>
  <c r="Y11" i="1"/>
  <c r="Z11" i="1" s="1"/>
  <c r="AD8" i="1"/>
  <c r="AR8" i="1"/>
  <c r="AS8" i="1"/>
  <c r="BB8" i="1"/>
  <c r="BD8" i="1" s="1"/>
  <c r="AR18" i="1"/>
  <c r="AD18" i="1"/>
  <c r="AQ13" i="1"/>
  <c r="AU13" i="1" s="1"/>
  <c r="AQ11" i="1"/>
  <c r="AU11" i="1" s="1"/>
  <c r="AW11" i="1" s="1"/>
  <c r="AQ9" i="1"/>
  <c r="AU9" i="1" s="1"/>
  <c r="AW9" i="1" s="1"/>
  <c r="AM93" i="1" l="1"/>
  <c r="AE18" i="1"/>
  <c r="BH20" i="1"/>
  <c r="BK20" i="1" s="1"/>
  <c r="BH31" i="1"/>
  <c r="BK31" i="1" s="1"/>
  <c r="BH54" i="1"/>
  <c r="AM47" i="1"/>
  <c r="BH62" i="1"/>
  <c r="BK62" i="1" s="1"/>
  <c r="AE70" i="1"/>
  <c r="BH70" i="1"/>
  <c r="AM49" i="1"/>
  <c r="AM67" i="1"/>
  <c r="AO72" i="1"/>
  <c r="AP72" i="1" s="1"/>
  <c r="AO93" i="1"/>
  <c r="AP93" i="1" s="1"/>
  <c r="BH89" i="1"/>
  <c r="BH45" i="1"/>
  <c r="BK45" i="1" s="1"/>
  <c r="AE9" i="1"/>
  <c r="AW20" i="1"/>
  <c r="AE46" i="1"/>
  <c r="AW22" i="1"/>
  <c r="AE56" i="1"/>
  <c r="BH82" i="1"/>
  <c r="BH65" i="1"/>
  <c r="AO43" i="1"/>
  <c r="AP43" i="1" s="1"/>
  <c r="AO54" i="1"/>
  <c r="AP54" i="1" s="1"/>
  <c r="AM31" i="1"/>
  <c r="AO11" i="1"/>
  <c r="AP11" i="1" s="1"/>
  <c r="AW21" i="1"/>
  <c r="AM29" i="1"/>
  <c r="BH16" i="1"/>
  <c r="BH51" i="1"/>
  <c r="AW40" i="1"/>
  <c r="AM79" i="1"/>
  <c r="AW33" i="1"/>
  <c r="AW16" i="1"/>
  <c r="BH43" i="1"/>
  <c r="BM43" i="1" s="1"/>
  <c r="BH37" i="1"/>
  <c r="BK37" i="1" s="1"/>
  <c r="AO38" i="1"/>
  <c r="AP38" i="1" s="1"/>
  <c r="AW94" i="1"/>
  <c r="BH85" i="1"/>
  <c r="BK85" i="1" s="1"/>
  <c r="BH88" i="1"/>
  <c r="BK88" i="1" s="1"/>
  <c r="BH19" i="1"/>
  <c r="AE78" i="1"/>
  <c r="AW29" i="1"/>
  <c r="AW49" i="1"/>
  <c r="AW64" i="1"/>
  <c r="BH71" i="1"/>
  <c r="BM71" i="1" s="1"/>
  <c r="AW12" i="1"/>
  <c r="AM36" i="1"/>
  <c r="AW56" i="1"/>
  <c r="BH9" i="1"/>
  <c r="AW48" i="1"/>
  <c r="BH13" i="1"/>
  <c r="BK13" i="1" s="1"/>
  <c r="BH28" i="1"/>
  <c r="AO8" i="1"/>
  <c r="AP8" i="1" s="1"/>
  <c r="AW27" i="1"/>
  <c r="BH55" i="1"/>
  <c r="BM55" i="1" s="1"/>
  <c r="AO63" i="1"/>
  <c r="AP63" i="1" s="1"/>
  <c r="AO52" i="1"/>
  <c r="AP52" i="1" s="1"/>
  <c r="BM16" i="1"/>
  <c r="BK16" i="1"/>
  <c r="BK36" i="1"/>
  <c r="BM36" i="1"/>
  <c r="BM42" i="1"/>
  <c r="BK42" i="1"/>
  <c r="BM19" i="1"/>
  <c r="BK19" i="1"/>
  <c r="BK71" i="1"/>
  <c r="BM79" i="1"/>
  <c r="BK79" i="1"/>
  <c r="AM17" i="1"/>
  <c r="BM65" i="1"/>
  <c r="BK65" i="1"/>
  <c r="BM37" i="1"/>
  <c r="AO41" i="1"/>
  <c r="AP41" i="1" s="1"/>
  <c r="BK54" i="1"/>
  <c r="BM54" i="1"/>
  <c r="AO31" i="1"/>
  <c r="AP31" i="1" s="1"/>
  <c r="BM52" i="1"/>
  <c r="BK52" i="1"/>
  <c r="AE65" i="1"/>
  <c r="BM73" i="1"/>
  <c r="BK73" i="1"/>
  <c r="BK87" i="1"/>
  <c r="BM87" i="1"/>
  <c r="BK70" i="1"/>
  <c r="BM70" i="1"/>
  <c r="BH81" i="1"/>
  <c r="BM88" i="1"/>
  <c r="BM94" i="1"/>
  <c r="BK94" i="1"/>
  <c r="BH38" i="1"/>
  <c r="AO71" i="1"/>
  <c r="AP71" i="1" s="1"/>
  <c r="BK27" i="1"/>
  <c r="BM27" i="1"/>
  <c r="BM75" i="1"/>
  <c r="BK75" i="1"/>
  <c r="AE8" i="1"/>
  <c r="BH10" i="1"/>
  <c r="AO12" i="1"/>
  <c r="AP12" i="1" s="1"/>
  <c r="BM39" i="1"/>
  <c r="BK39" i="1"/>
  <c r="BM25" i="1"/>
  <c r="BK25" i="1"/>
  <c r="AO29" i="1"/>
  <c r="AP29" i="1" s="1"/>
  <c r="AE54" i="1"/>
  <c r="AM56" i="1"/>
  <c r="BH66" i="1"/>
  <c r="AE74" i="1"/>
  <c r="AE81" i="1"/>
  <c r="AM58" i="1"/>
  <c r="BH6" i="1"/>
  <c r="AW6" i="1"/>
  <c r="BM85" i="1"/>
  <c r="AO90" i="1"/>
  <c r="AP90" i="1" s="1"/>
  <c r="AV75" i="1"/>
  <c r="AW75" i="1" s="1"/>
  <c r="AW18" i="1"/>
  <c r="AE31" i="1"/>
  <c r="AW39" i="1"/>
  <c r="AO83" i="1"/>
  <c r="AP83" i="1" s="1"/>
  <c r="AE11" i="1"/>
  <c r="AW26" i="1"/>
  <c r="AE29" i="1"/>
  <c r="BK34" i="1"/>
  <c r="BM34" i="1"/>
  <c r="BH24" i="1"/>
  <c r="BH22" i="1"/>
  <c r="AW55" i="1"/>
  <c r="BH48" i="1"/>
  <c r="BM21" i="1"/>
  <c r="BK21" i="1"/>
  <c r="BM12" i="1"/>
  <c r="BK12" i="1"/>
  <c r="BK29" i="1"/>
  <c r="BM29" i="1"/>
  <c r="BK61" i="1"/>
  <c r="BM61" i="1"/>
  <c r="BM64" i="1"/>
  <c r="BK64" i="1"/>
  <c r="BK84" i="1"/>
  <c r="BM84" i="1"/>
  <c r="BM35" i="1"/>
  <c r="BK35" i="1"/>
  <c r="BK63" i="1"/>
  <c r="BM63" i="1"/>
  <c r="BK93" i="1"/>
  <c r="BM93" i="1"/>
  <c r="BM28" i="1"/>
  <c r="BK28" i="1"/>
  <c r="BM17" i="1"/>
  <c r="BK17" i="1"/>
  <c r="AV86" i="1"/>
  <c r="AW86" i="1" s="1"/>
  <c r="AO86" i="1"/>
  <c r="AP86" i="1" s="1"/>
  <c r="BM51" i="1"/>
  <c r="BK51" i="1"/>
  <c r="AM19" i="1"/>
  <c r="AO27" i="1"/>
  <c r="AP27" i="1" s="1"/>
  <c r="AM38" i="1"/>
  <c r="BM62" i="1"/>
  <c r="BM69" i="1"/>
  <c r="BK69" i="1"/>
  <c r="BK80" i="1"/>
  <c r="BM80" i="1"/>
  <c r="BH67" i="1"/>
  <c r="BK74" i="1"/>
  <c r="BM74" i="1"/>
  <c r="BM44" i="1"/>
  <c r="BK44" i="1"/>
  <c r="BM92" i="1"/>
  <c r="BK92" i="1"/>
  <c r="BH15" i="1"/>
  <c r="BM45" i="1"/>
  <c r="AE43" i="1"/>
  <c r="BK11" i="1"/>
  <c r="BM11" i="1"/>
  <c r="AO19" i="1"/>
  <c r="AP19" i="1" s="1"/>
  <c r="BH33" i="1"/>
  <c r="AE79" i="1"/>
  <c r="BK9" i="1"/>
  <c r="BM9" i="1"/>
  <c r="BK82" i="1"/>
  <c r="BM82" i="1"/>
  <c r="BH8" i="1"/>
  <c r="AO17" i="1"/>
  <c r="AP17" i="1" s="1"/>
  <c r="BK43" i="1"/>
  <c r="BH58" i="1"/>
  <c r="AO36" i="1"/>
  <c r="AP36" i="1" s="1"/>
  <c r="BH40" i="1"/>
  <c r="BK47" i="1"/>
  <c r="BM47" i="1"/>
  <c r="BM30" i="1"/>
  <c r="BK30" i="1"/>
  <c r="AE67" i="1"/>
  <c r="BH91" i="1"/>
  <c r="AE58" i="1"/>
  <c r="BH18" i="1"/>
  <c r="BH46" i="1"/>
  <c r="BK89" i="1"/>
  <c r="BM89" i="1"/>
  <c r="AW19" i="1"/>
  <c r="BH78" i="1"/>
  <c r="AW17" i="1"/>
  <c r="BH26" i="1"/>
  <c r="BM53" i="1"/>
  <c r="BK53" i="1"/>
  <c r="BK56" i="1"/>
  <c r="BM56" i="1"/>
  <c r="BH57" i="1"/>
  <c r="BH72" i="1"/>
  <c r="AW76" i="1"/>
  <c r="BH83" i="1"/>
  <c r="AE90" i="1"/>
  <c r="BH90" i="1"/>
  <c r="AE87" i="1"/>
  <c r="BH60" i="1"/>
  <c r="BK76" i="1"/>
  <c r="BM76" i="1"/>
  <c r="BH49" i="1"/>
  <c r="BM13" i="1"/>
  <c r="AE73" i="1"/>
  <c r="AV68" i="1"/>
  <c r="AW68" i="1" s="1"/>
  <c r="AO68" i="1"/>
  <c r="AP68" i="1" s="1"/>
  <c r="AW13" i="1"/>
  <c r="AO22" i="1"/>
  <c r="AP22" i="1" s="1"/>
  <c r="AO56" i="1"/>
  <c r="AP56" i="1" s="1"/>
  <c r="AW51" i="1"/>
  <c r="AW62" i="1"/>
  <c r="AO49" i="1"/>
  <c r="AP49" i="1" s="1"/>
  <c r="AM54" i="1"/>
  <c r="AO79" i="1"/>
  <c r="AP79" i="1" s="1"/>
  <c r="AM90" i="1"/>
  <c r="AW8" i="1"/>
  <c r="AM27" i="1"/>
  <c r="AW45" i="1"/>
  <c r="AM8" i="1"/>
  <c r="AW15" i="1"/>
  <c r="AW37" i="1"/>
  <c r="AO13" i="1"/>
  <c r="AP13" i="1" s="1"/>
  <c r="AO66" i="1"/>
  <c r="AP66" i="1" s="1"/>
  <c r="AW92" i="1"/>
  <c r="AE66" i="1"/>
  <c r="AW54" i="1"/>
  <c r="AM69" i="1"/>
  <c r="AE24" i="1"/>
  <c r="AM91" i="1"/>
  <c r="AM89" i="1"/>
  <c r="AO89" i="1"/>
  <c r="AP89" i="1" s="1"/>
  <c r="AO84" i="1"/>
  <c r="AP84" i="1" s="1"/>
  <c r="AE84" i="1"/>
  <c r="AW83" i="1"/>
  <c r="AW82" i="1"/>
  <c r="AM76" i="1"/>
  <c r="AE76" i="1"/>
  <c r="AO73" i="1"/>
  <c r="AP73" i="1" s="1"/>
  <c r="AE72" i="1"/>
  <c r="AW71" i="1"/>
  <c r="AM71" i="1"/>
  <c r="AM70" i="1"/>
  <c r="AW63" i="1"/>
  <c r="AM63" i="1"/>
  <c r="AW58" i="1"/>
  <c r="AW43" i="1"/>
  <c r="AE36" i="1"/>
  <c r="AW24" i="1"/>
  <c r="AM18" i="1"/>
  <c r="AM12" i="1"/>
  <c r="AW78" i="1"/>
  <c r="AO53" i="1"/>
  <c r="AP53" i="1" s="1"/>
  <c r="AM45" i="1"/>
  <c r="AW72" i="1"/>
  <c r="AW65" i="1"/>
  <c r="AW74" i="1"/>
  <c r="AE39" i="1"/>
  <c r="AM94" i="1"/>
  <c r="AO94" i="1"/>
  <c r="AP94" i="1" s="1"/>
  <c r="AE94" i="1"/>
  <c r="AM78" i="1"/>
  <c r="AM22" i="1"/>
  <c r="AW91" i="1"/>
  <c r="AW44" i="1"/>
  <c r="AW81" i="1"/>
  <c r="AO78" i="1"/>
  <c r="AP78" i="1" s="1"/>
  <c r="AO18" i="1"/>
  <c r="AP18" i="1" s="1"/>
  <c r="AO87" i="1"/>
  <c r="AP87" i="1" s="1"/>
  <c r="AM83" i="1"/>
  <c r="AE83" i="1"/>
  <c r="AW87" i="1"/>
  <c r="AO65" i="1"/>
  <c r="AP65" i="1" s="1"/>
  <c r="AW10" i="1"/>
  <c r="AM15" i="1"/>
  <c r="AW53" i="1"/>
  <c r="AO24" i="1"/>
  <c r="AP24" i="1" s="1"/>
  <c r="AW79" i="1"/>
  <c r="AO39" i="1"/>
  <c r="AP39" i="1" s="1"/>
  <c r="AM81" i="1"/>
  <c r="AM34" i="1"/>
  <c r="AE34" i="1"/>
  <c r="AE69" i="1"/>
  <c r="AM43" i="1"/>
  <c r="AO45" i="1"/>
  <c r="AP45" i="1" s="1"/>
  <c r="AM75" i="1"/>
  <c r="AO15" i="1"/>
  <c r="AP15" i="1" s="1"/>
  <c r="AE26" i="1"/>
  <c r="AM26" i="1"/>
  <c r="AO26" i="1"/>
  <c r="AP26" i="1" s="1"/>
  <c r="AE25" i="1"/>
  <c r="AO25" i="1"/>
  <c r="AP25" i="1" s="1"/>
  <c r="AM25" i="1"/>
  <c r="AM30" i="1"/>
  <c r="AO30" i="1"/>
  <c r="AP30" i="1" s="1"/>
  <c r="AE30" i="1"/>
  <c r="AE21" i="1"/>
  <c r="AM21" i="1"/>
  <c r="AO21" i="1"/>
  <c r="AP21" i="1" s="1"/>
  <c r="AO37" i="1"/>
  <c r="AP37" i="1" s="1"/>
  <c r="AM37" i="1"/>
  <c r="AE37" i="1"/>
  <c r="AM24" i="1"/>
  <c r="AE40" i="1"/>
  <c r="AO40" i="1"/>
  <c r="AP40" i="1" s="1"/>
  <c r="AM40" i="1"/>
  <c r="AM53" i="1"/>
  <c r="AV59" i="1"/>
  <c r="AW59" i="1" s="1"/>
  <c r="AO59" i="1"/>
  <c r="AP59" i="1" s="1"/>
  <c r="AM66" i="1"/>
  <c r="AM84" i="1"/>
  <c r="R7" i="1"/>
  <c r="W7" i="1"/>
  <c r="AO67" i="1"/>
  <c r="AP67" i="1" s="1"/>
  <c r="AO81" i="1"/>
  <c r="AP81" i="1" s="1"/>
  <c r="AO70" i="1"/>
  <c r="AP70" i="1" s="1"/>
  <c r="AE85" i="1"/>
  <c r="AO85" i="1"/>
  <c r="AP85" i="1" s="1"/>
  <c r="AM85" i="1"/>
  <c r="AO91" i="1"/>
  <c r="AP91" i="1" s="1"/>
  <c r="AE88" i="1"/>
  <c r="AO88" i="1"/>
  <c r="AP88" i="1" s="1"/>
  <c r="AM88" i="1"/>
  <c r="AM55" i="1"/>
  <c r="AO55" i="1"/>
  <c r="AP55" i="1" s="1"/>
  <c r="AE55" i="1"/>
  <c r="AO74" i="1"/>
  <c r="AP74" i="1" s="1"/>
  <c r="AM16" i="1"/>
  <c r="AE16" i="1"/>
  <c r="AO16" i="1"/>
  <c r="AP16" i="1" s="1"/>
  <c r="AN28" i="1"/>
  <c r="AM28" i="1"/>
  <c r="AE10" i="1"/>
  <c r="AO10" i="1"/>
  <c r="AP10" i="1" s="1"/>
  <c r="AM10" i="1"/>
  <c r="AM60" i="1"/>
  <c r="AO60" i="1"/>
  <c r="AP60" i="1" s="1"/>
  <c r="AE60" i="1"/>
  <c r="AO46" i="1"/>
  <c r="AP46" i="1" s="1"/>
  <c r="AW66" i="1"/>
  <c r="AW69" i="1"/>
  <c r="AW73" i="1"/>
  <c r="AW80" i="1"/>
  <c r="AW84" i="1"/>
  <c r="AO44" i="1"/>
  <c r="AP44" i="1" s="1"/>
  <c r="AM44" i="1"/>
  <c r="AE44" i="1"/>
  <c r="AW70" i="1"/>
  <c r="AM80" i="1"/>
  <c r="AM64" i="1"/>
  <c r="AN35" i="1"/>
  <c r="AM35" i="1"/>
  <c r="AE42" i="1"/>
  <c r="AM42" i="1"/>
  <c r="AO42" i="1"/>
  <c r="AP42" i="1" s="1"/>
  <c r="AO62" i="1"/>
  <c r="AP62" i="1" s="1"/>
  <c r="AE62" i="1"/>
  <c r="AM62" i="1"/>
  <c r="AE20" i="1"/>
  <c r="AO20" i="1"/>
  <c r="AP20" i="1" s="1"/>
  <c r="AM20" i="1"/>
  <c r="AE33" i="1"/>
  <c r="AM33" i="1"/>
  <c r="AO33" i="1"/>
  <c r="AP33" i="1" s="1"/>
  <c r="AW46" i="1"/>
  <c r="AM46" i="1"/>
  <c r="AM48" i="1"/>
  <c r="AO48" i="1"/>
  <c r="AP48" i="1" s="1"/>
  <c r="AE48" i="1"/>
  <c r="AM57" i="1"/>
  <c r="AO57" i="1"/>
  <c r="AP57" i="1" s="1"/>
  <c r="AE57" i="1"/>
  <c r="AO80" i="1"/>
  <c r="AP80" i="1" s="1"/>
  <c r="AM51" i="1"/>
  <c r="AO51" i="1"/>
  <c r="AP51" i="1" s="1"/>
  <c r="AE51" i="1"/>
  <c r="AM39" i="1"/>
  <c r="AO50" i="1"/>
  <c r="AP50" i="1" s="1"/>
  <c r="AV50" i="1"/>
  <c r="AW50" i="1" s="1"/>
  <c r="AO64" i="1"/>
  <c r="AP64" i="1" s="1"/>
  <c r="AW67" i="1"/>
  <c r="AM73" i="1"/>
  <c r="AM6" i="1"/>
  <c r="AO6" i="1"/>
  <c r="AP6" i="1" s="1"/>
  <c r="AE6" i="1"/>
  <c r="AM74" i="1"/>
  <c r="AM87" i="1"/>
  <c r="AM65" i="1"/>
  <c r="AW85" i="1"/>
  <c r="AW88" i="1"/>
  <c r="AE92" i="1"/>
  <c r="AO92" i="1"/>
  <c r="AP92" i="1" s="1"/>
  <c r="AM92" i="1"/>
  <c r="BM20" i="1" l="1"/>
  <c r="BM31" i="1"/>
  <c r="BK55" i="1"/>
  <c r="BK58" i="1"/>
  <c r="BM58" i="1"/>
  <c r="BK6" i="1"/>
  <c r="BM6" i="1"/>
  <c r="BK72" i="1"/>
  <c r="BM72" i="1"/>
  <c r="BM46" i="1"/>
  <c r="BK46" i="1"/>
  <c r="BB7" i="1"/>
  <c r="BD7" i="1" s="1"/>
  <c r="BF7" i="1"/>
  <c r="BM57" i="1"/>
  <c r="BK57" i="1"/>
  <c r="BK18" i="1"/>
  <c r="BM18" i="1"/>
  <c r="BK40" i="1"/>
  <c r="BM40" i="1"/>
  <c r="BM33" i="1"/>
  <c r="BK33" i="1"/>
  <c r="BM48" i="1"/>
  <c r="BK48" i="1"/>
  <c r="BM38" i="1"/>
  <c r="BK38" i="1"/>
  <c r="BK49" i="1"/>
  <c r="BM49" i="1"/>
  <c r="BK91" i="1"/>
  <c r="BM91" i="1"/>
  <c r="BM8" i="1"/>
  <c r="BK8" i="1"/>
  <c r="BK67" i="1"/>
  <c r="BM67" i="1"/>
  <c r="BK22" i="1"/>
  <c r="BM22" i="1"/>
  <c r="BM66" i="1"/>
  <c r="BK66" i="1"/>
  <c r="BM90" i="1"/>
  <c r="BK90" i="1"/>
  <c r="BK78" i="1"/>
  <c r="BM78" i="1"/>
  <c r="BM15" i="1"/>
  <c r="BK15" i="1"/>
  <c r="BM24" i="1"/>
  <c r="BK24" i="1"/>
  <c r="BM60" i="1"/>
  <c r="BK60" i="1"/>
  <c r="BM83" i="1"/>
  <c r="BK83" i="1"/>
  <c r="BM26" i="1"/>
  <c r="BK26" i="1"/>
  <c r="BM10" i="1"/>
  <c r="BK10" i="1"/>
  <c r="BM81" i="1"/>
  <c r="BK81" i="1"/>
  <c r="AL7" i="1"/>
  <c r="AN7" i="1" s="1"/>
  <c r="AV7" i="1" s="1"/>
  <c r="AQ7" i="1"/>
  <c r="AU7" i="1" s="1"/>
  <c r="AW7" i="1" s="1"/>
  <c r="AD7" i="1"/>
  <c r="AR7" i="1"/>
  <c r="AS7" i="1"/>
  <c r="X7" i="1"/>
  <c r="Y7" i="1" s="1"/>
  <c r="Z7" i="1" s="1"/>
  <c r="AV35" i="1"/>
  <c r="AW35" i="1" s="1"/>
  <c r="AO35" i="1"/>
  <c r="AP35" i="1" s="1"/>
  <c r="AV28" i="1"/>
  <c r="AW28" i="1" s="1"/>
  <c r="AO28" i="1"/>
  <c r="AP28" i="1" s="1"/>
  <c r="S7" i="1"/>
  <c r="BH7" i="1" l="1"/>
  <c r="BK7" i="1"/>
  <c r="BM7" i="1"/>
  <c r="AM7" i="1"/>
  <c r="AE7" i="1"/>
  <c r="AO7" i="1"/>
  <c r="AP7" i="1" s="1"/>
</calcChain>
</file>

<file path=xl/sharedStrings.xml><?xml version="1.0" encoding="utf-8"?>
<sst xmlns="http://schemas.openxmlformats.org/spreadsheetml/2006/main" count="937" uniqueCount="186">
  <si>
    <t>CONCEPTO 6255600 - Suma Res 1091/2020 - se calcula por el coeficiente 0,84836863 aplicado sobre el concepto 6387000 con imputacion diciembre 2020</t>
  </si>
  <si>
    <t>CONCEPTO 6255600 - Suma Res 1091/2020 - se calcula por el coeficiente 0,46216371 aplicado sobre el concepto 6387000 con imputacion noviembre 2020</t>
  </si>
  <si>
    <t>Sumas Unicas de $ 10.000- se pagaron por el concepto 6345200 Asig. Estim. GCBA-COVID em comples de 19/9/20 y 15/10/20 sujeto a prestaciones cumplidas en agosto/20 y setiembre/20 respectivamente</t>
  </si>
  <si>
    <t xml:space="preserve">CONCEPTO 6254000- SUMA FIJA 2020 -desde febrero 2020 hasta octubre 2020: cálculo sobre el cpto 6387000 con el coeficiente 0,269061 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</si>
  <si>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6369000+6418100+6426100+6441100+6430100+6470100+6492100+6477100+6494100+6478000+6394000+6294100+(6294000+Sum Rem 2%)+ )+6386000)*0,3492</t>
    </r>
  </si>
  <si>
    <t>ENERO 2020</t>
  </si>
  <si>
    <r>
      <t xml:space="preserve">15,92% calculado sobre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valores marzo/19</t>
    </r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</si>
  <si>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6369000+6418100+6426100+6441100+6430100+6470100+6492100+6477100+6494100+6478000+6394000+6294100+(6294000+Sum Rem 2%)+ )+6386000)*0,19</t>
    </r>
  </si>
  <si>
    <t>OCTUBRE 19</t>
  </si>
  <si>
    <r>
      <t xml:space="preserve">5% calculado sobre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valores marzo 2019</t>
    </r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</si>
  <si>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6369000+6418100+6426100+6441100+6430100+6470100+6492100+6477100+6494100+6478000+6394000+6294100+(6294000+Sum Rem 2%)+ )+6386000)*0,14</t>
    </r>
  </si>
  <si>
    <t>JULIO 2019</t>
  </si>
  <si>
    <r>
      <t xml:space="preserve">6% calculado sobre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valores marzo 2019</t>
    </r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</si>
  <si>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6369000+6418100+6426100+6441100+6430100+6470100+6492100+6477100+6494100+6478000+6394000+6294100+(6294000+Sum Rem 2%)+ )+6386000)*0,08</t>
    </r>
  </si>
  <si>
    <t>ABRIL 2019</t>
  </si>
  <si>
    <r>
      <t xml:space="preserve">8% calculado sobre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valores marzo 2019</t>
    </r>
  </si>
  <si>
    <t xml:space="preserve">CONCEPTO 6387000 - COMPLEMENTO REMUNERATIVO ACTA 01/2019 - VIGENCIA DESDE 01/04/2019 </t>
  </si>
  <si>
    <t xml:space="preserve">se abona por el mes de marzo 2019, en proceso complementario del 15/04/2019 </t>
  </si>
  <si>
    <t>Suma fija por unica vez de $ 10,000</t>
  </si>
  <si>
    <t>se abona como adelanto en la complementaria del 15/02/2019 y se convalida con el concepto salarial definitivo en la paga mensual de febrero 2019</t>
  </si>
  <si>
    <t xml:space="preserve">Suma fija por unica vez  de $ 6,500 </t>
  </si>
  <si>
    <t xml:space="preserve">se abona como adelanto en la complementaria del 15/01/2019 y se convalida con el concepto salarial definitivo en la paga mensual de enero 2019 </t>
  </si>
  <si>
    <t>se abona como adelanto en la complementaria del 10/05/2018 y se convalida con el concepto salarial definitivo en la paga mensual de mayo 2018</t>
  </si>
  <si>
    <t xml:space="preserve">Suma fija por unica vez  de $ 12.000 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</si>
  <si>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)*0,35)</t>
    </r>
  </si>
  <si>
    <t>MARZO 2019</t>
  </si>
  <si>
    <r>
      <t xml:space="preserve">5% calculado sobre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valores de abril 2018</t>
    </r>
  </si>
  <si>
    <t>ENERO 2019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</si>
  <si>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)*0,30)</t>
    </r>
  </si>
  <si>
    <t>DICIEMBRE 2018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</si>
  <si>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)*0,25)</t>
    </r>
  </si>
  <si>
    <t>NOVIEMBRE 2018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</si>
  <si>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)*0,20)</t>
    </r>
  </si>
  <si>
    <t>OCTUBRE 2018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</si>
  <si>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)*0,15)</t>
    </r>
  </si>
  <si>
    <t>SETIEMBRE 2018</t>
  </si>
  <si>
    <r>
      <t xml:space="preserve">3% calculado sobre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valores de abril 2018 </t>
    </r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</si>
  <si>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)*0,12)</t>
    </r>
  </si>
  <si>
    <t>JULIO 2018</t>
  </si>
  <si>
    <r>
      <t xml:space="preserve">4% calculado sobre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valores de abril 2018 </t>
    </r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</si>
  <si>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6369000+6418100+6426100+6441100+6430100+6470100+6492100+6477100+6494100+6478000+6394000+6294100+6294000+Sum Rem 2% )*0,08)</t>
    </r>
  </si>
  <si>
    <t>ABRIL 2018</t>
  </si>
  <si>
    <r>
      <t xml:space="preserve">8% calculado sobre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valores de abril 2018 </t>
    </r>
  </si>
  <si>
    <t xml:space="preserve">CONCEPTO 6386000  Suma Porcentual Remunerativa ACTA 01/18 vigente desde el 01/04/2018 </t>
  </si>
  <si>
    <t>Concepto 6294000 ADICIONAL ESPECIAL NO REM CPH/RESID VIGENCIA 01/10/2017  -  Suma Fija no remunerativa, se mantiene por el Acta 01/2018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</si>
  <si>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((cptos 6369000+6418100+6426100+6441100+6430100+6470100+6492100+6477100+6494100+6478000+6394000)*0,02)</t>
    </r>
  </si>
  <si>
    <r>
      <t xml:space="preserve">Se acumula 2% sobre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valores enero 2017</t>
    </r>
  </si>
  <si>
    <t>VIGENCIA 01/04/2018 POR ACTA PARITARIA 01/2018</t>
  </si>
  <si>
    <t>en el caso de conceptos, cuyo monto resulta de un calculo anidado, el incremento va sobre el valor calculado a marzo 2017</t>
  </si>
  <si>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cptos (6369 + 6418100 + 6426100 + 6441100 + 6430100 + 6470100 + 6492100 + 6477100 + 6494100 + 6478000 + 6394000)</t>
    </r>
  </si>
  <si>
    <t>18% CALCULADO sobre la siguiente sumatoria</t>
  </si>
  <si>
    <t>10% CALCULADO sobre la siguiente sumatoria</t>
  </si>
  <si>
    <t>VIGENCIA 01/04/2017 POR ACTA PARITARIA 75/2017</t>
  </si>
  <si>
    <t xml:space="preserve">Concepto 6294100   CONCEPTO REMUNERATIVO </t>
  </si>
  <si>
    <r>
      <t xml:space="preserve">CONCEPTO 6394: Suma Porcentual AC 74/16: incremento no remunerativo consistente en el (6%+7%) sobre 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(cptos 6369+6418100+6426100+6441100+6430100+6470100+6477+6494)</t>
    </r>
    <r>
      <rPr>
        <sz val="10"/>
        <rFont val="Arial"/>
        <family val="2"/>
      </rPr>
      <t xml:space="preserve"> vigentes al 31/03/2016</t>
    </r>
  </si>
  <si>
    <r>
      <t xml:space="preserve">CONCEPTO 6478 -Suma No Remun. CPH/RES 2016:  suma fija por categoria y horario que surge de aplicar el 15,5 % sobre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cptos (</t>
    </r>
    <r>
      <rPr>
        <sz val="10"/>
        <rFont val="Arial"/>
        <family val="2"/>
      </rPr>
      <t>6369000+6418100+6426100+6441100+6470100+6492100+647700+6494000)</t>
    </r>
  </si>
  <si>
    <t>A partir de 01/01/2017 pasa a remunerativo por el Acta acuerdo del 01/12/2016</t>
  </si>
  <si>
    <r>
      <rPr>
        <sz val="10"/>
        <rFont val="Calibri"/>
        <family val="2"/>
      </rPr>
      <t>∑</t>
    </r>
    <r>
      <rPr>
        <sz val="10"/>
        <rFont val="Arial"/>
        <family val="2"/>
      </rPr>
      <t>((cptos 6369+6418100+6426100+6441100+6430100+((6470100+6492100)*0,827)*0,14)</t>
    </r>
  </si>
  <si>
    <t>Calculo del concepto 6494 a diciembre 2015</t>
  </si>
  <si>
    <t>Ambos incrementos se calculan sobre los valores remunerativos y no remunerativos vigentes al 31/03/2015</t>
  </si>
  <si>
    <r>
      <t xml:space="preserve">CONCEPTO 6494 : Incremento porcentual no remunerativo del 5 % + 9% (CATORCE %),calculado sobre </t>
    </r>
    <r>
      <rPr>
        <sz val="10"/>
        <rFont val="Symbol"/>
        <family val="1"/>
        <charset val="2"/>
      </rPr>
      <t>S</t>
    </r>
    <r>
      <rPr>
        <sz val="8"/>
        <rFont val="Arial"/>
        <family val="2"/>
      </rPr>
      <t xml:space="preserve"> (cpto 6369+cpto 6418100+cpto 6426100+cpto 6441100+ cpto 6430100 + cpto 6470+ cpto 6492 ) . Rige desde 01/10/15</t>
    </r>
  </si>
  <si>
    <t>Concepto 6477 - suma fija no remunerativa por Acta 72/2015 con valores diferenciales por categorias y horarios.  A partir del 01/01/2017  se convierten en remunerativas por Acta acuerdo del 01/12/16.</t>
  </si>
  <si>
    <t>menores a 40 horas y para los horarios de 40 horas o mayores se otorgó $ 2.900,00</t>
  </si>
  <si>
    <t>eran para PS-MS 25-24-23-22 y 21 para horarios menores a 40 horas $ 2.000,00 y para 40 horas o más $ 2.400,00. Para las categorías PS-MS 20-19-18-17 y16  se fijó $ 2400 para horarios</t>
  </si>
  <si>
    <t xml:space="preserve">Concepto 64301 -reemplaza al cpto 6430. Es de carater remunerativo desde el 01/12/2014. Su valor final surge de aplicar un blanqueo para sostener la cuantìa de bolsillo.  Los montos originales  </t>
  </si>
  <si>
    <r>
      <t>(***) CONCEPTO 64411 - Incremento porcentual asociado a la categoria que se calcula sobre "</t>
    </r>
    <r>
      <rPr>
        <sz val="10"/>
        <rFont val="Symbol"/>
        <family val="1"/>
        <charset val="2"/>
      </rPr>
      <t>S</t>
    </r>
    <r>
      <rPr>
        <sz val="8"/>
        <rFont val="Arial"/>
        <family val="2"/>
      </rPr>
      <t xml:space="preserve"> (cpto 6369+6418100+6426100)*porcentaje/0,827" toda vez que a partir del 01/01/2015 es integramente remunerativo</t>
    </r>
  </si>
  <si>
    <r>
      <rPr>
        <sz val="10"/>
        <rFont val="Calibri"/>
        <family val="2"/>
      </rPr>
      <t>∑(</t>
    </r>
    <r>
      <rPr>
        <sz val="10"/>
        <rFont val="Arial"/>
        <family val="2"/>
      </rPr>
      <t>(cptos 6369+6418100+6426100+(6430100+441100)*0,827)*0,12)/0,827</t>
    </r>
  </si>
  <si>
    <t xml:space="preserve">Calculo del concepto 492100 -  </t>
  </si>
  <si>
    <t>(**) concepto 6492100 - este concepto se convierte a remunerativo desde diciembre 2015 con grossing-up a cargo del GCBA conforme Acta 72/2015</t>
  </si>
  <si>
    <r>
      <rPr>
        <sz val="10"/>
        <rFont val="Calibri"/>
        <family val="2"/>
      </rPr>
      <t>∑</t>
    </r>
    <r>
      <rPr>
        <sz val="10"/>
        <rFont val="Arial"/>
        <family val="2"/>
      </rPr>
      <t>(cptos 6369+6418100+6426100+(6430100+441100)*0,827)*0,12</t>
    </r>
  </si>
  <si>
    <t>Calculo del concepto 6492 tomando los valores de esta tabla</t>
  </si>
  <si>
    <r>
      <t xml:space="preserve">(**) CONCEPTO 6492 Incremento porcentual del doce por ciento (12 %) calculado sobre la </t>
    </r>
    <r>
      <rPr>
        <sz val="10"/>
        <rFont val="Calibri"/>
        <family val="2"/>
      </rPr>
      <t>∑</t>
    </r>
    <r>
      <rPr>
        <sz val="9"/>
        <rFont val="Arial"/>
        <family val="2"/>
      </rPr>
      <t xml:space="preserve"> (cptos 6369+6418100+6426100+6430+6441).   6 % de Julio/15 + 6 % de Setiembre, ambos % s/Dic 2013</t>
    </r>
  </si>
  <si>
    <t>Conforme al Acta paritaria 72/2015, este concepto pasa a ser remunerativo con grossing-up a cargo del GCBA</t>
  </si>
  <si>
    <t xml:space="preserve">inicial PS 25, se fija un importe único para todos los horarios -Acta de Negociación Colectiva de la Comisión Sectorial Medicos Municipales N° 69/2014. </t>
  </si>
  <si>
    <t xml:space="preserve">(*)CPTO 6470 :Suma fija no Remunerativa por categoría y horario a partir de abril 2014 - importe por categoria y nivel - por menos de 40 horas o para más de 40 hs- para el nivel  </t>
  </si>
  <si>
    <t>PS - MS 16</t>
  </si>
  <si>
    <t>u</t>
  </si>
  <si>
    <t>Profesional Consultor Superior 2</t>
  </si>
  <si>
    <t>Profesional Consultor Superior 2 - base</t>
  </si>
  <si>
    <t>PS - MS 17</t>
  </si>
  <si>
    <t xml:space="preserve">Profesional Consultor  Superior 1 </t>
  </si>
  <si>
    <t>Profesional Consultor  Superior 1 - Base</t>
  </si>
  <si>
    <t>PS - MS 18</t>
  </si>
  <si>
    <t>Profesional Consultor  Principal</t>
  </si>
  <si>
    <t>Profesional Consultor  Principal - Base</t>
  </si>
  <si>
    <t>PS - MS 19</t>
  </si>
  <si>
    <t xml:space="preserve">Profesional Consultor </t>
  </si>
  <si>
    <t>Profesional Consultor  - Base</t>
  </si>
  <si>
    <t>PS - MS 20</t>
  </si>
  <si>
    <t>Profesional Consultor Adjunto</t>
  </si>
  <si>
    <t>Profesional Consultor Adjunto - Base</t>
  </si>
  <si>
    <t>PS - MS 21</t>
  </si>
  <si>
    <t>Profesional de Hospital Principal</t>
  </si>
  <si>
    <t>Profesional de Hospital Principal - Base</t>
  </si>
  <si>
    <t>PS - MS 22</t>
  </si>
  <si>
    <t>Profesional de Hospital</t>
  </si>
  <si>
    <t>Profesional de Hospital - Base</t>
  </si>
  <si>
    <t>PS - MS 23</t>
  </si>
  <si>
    <t>Profesional de Hospital Adjunto</t>
  </si>
  <si>
    <t>Profesional de Hospital Adjunto -Base</t>
  </si>
  <si>
    <t xml:space="preserve">PS-MS  24     </t>
  </si>
  <si>
    <t xml:space="preserve">Profesional Asistente </t>
  </si>
  <si>
    <t xml:space="preserve">PS - MS  24     </t>
  </si>
  <si>
    <t>Profesional Asistente - Base</t>
  </si>
  <si>
    <t xml:space="preserve">PS-25     </t>
  </si>
  <si>
    <t>Profesional Asistente adjunto</t>
  </si>
  <si>
    <t xml:space="preserve">PS 25     </t>
  </si>
  <si>
    <t>base no rem</t>
  </si>
  <si>
    <t>base remu</t>
  </si>
  <si>
    <t>cat</t>
  </si>
  <si>
    <t>hs</t>
  </si>
  <si>
    <t>Nivel</t>
  </si>
  <si>
    <t>no rem</t>
  </si>
  <si>
    <t>remu</t>
  </si>
  <si>
    <t>octubre 10% acum=40%</t>
  </si>
  <si>
    <t>setiembre -5% acum=30% rem</t>
  </si>
  <si>
    <t>julio -15% acum=25% rem</t>
  </si>
  <si>
    <t xml:space="preserve">total </t>
  </si>
  <si>
    <t>cpto 62556000 con $ 4000 -valor Marzo 21</t>
  </si>
  <si>
    <t xml:space="preserve">TOTAL DE HABERES DESDE 01 DE DICIEMBRE 2020  </t>
  </si>
  <si>
    <t>Suma RES 1091/2020            Cpto 6255600</t>
  </si>
  <si>
    <t>SUMA NR CPH 2016 cpto 6478000</t>
  </si>
  <si>
    <t>HS</t>
  </si>
  <si>
    <t>CATEGORIAS</t>
  </si>
  <si>
    <t>resultado=baso* coeficiente sin decimales</t>
  </si>
  <si>
    <t>coeficiente=monto 6294/base</t>
  </si>
  <si>
    <t>base calculo cpto 6294000 nuevos valores</t>
  </si>
  <si>
    <t>Porcentual vigente desde 01/10/13 -Base del concepto 64411</t>
  </si>
  <si>
    <t>cc</t>
  </si>
  <si>
    <t xml:space="preserve">TOTAL DE HABERES DESDE 01 DE ENERO 2020  </t>
  </si>
  <si>
    <t>Complemento remunerativo Acta 01/19 cpto 6387000 desde 01/04/2019</t>
  </si>
  <si>
    <t>Suma Porc. Rem Acta 01/2018 vigencia 01/10/2018     cpto 6386000</t>
  </si>
  <si>
    <t>Adicional no remunerativo CPH/Resid  Acta 75/17 a partir del 01/03/2019    Cpto 6294000</t>
  </si>
  <si>
    <t xml:space="preserve">Suma remunerativa 18% por Acta 75/17 y 2% desde 01/04/18 acta 01/18     cpto 6294100 </t>
  </si>
  <si>
    <t>SUMA PORCENTUAL NO REMU 2016 6% A/P 01/09/16 +7%A/P 01/11/16        cpto 6394</t>
  </si>
  <si>
    <t>Suma no rem. CPH/RES 2016 ACTA 74/16 A/P ABRIL 2016 cpto 6478</t>
  </si>
  <si>
    <t xml:space="preserve">Suma Porcentual  Remun. (5 % y 9%)  desde 01/01/2017 Cpto 6494100           con gros- up   </t>
  </si>
  <si>
    <t>Suma Fija rem. Acta Acuerdo a/p 01/01/17 Cpto 6477100                 con gros-up</t>
  </si>
  <si>
    <t>Aumento Porcentual  rem acta 72/15 -  a/p DIC 2015 (**) cpto 6492100</t>
  </si>
  <si>
    <t>Suma Rem. Acta N°72/15(*) a/p DIC 2015 cpto 6470100</t>
  </si>
  <si>
    <t>Concepto    REM Vig 01/12/14        6430100</t>
  </si>
  <si>
    <t>Suma Porcentual vigente al 01/01/2015 cpto 64411 (***)</t>
  </si>
  <si>
    <t>Concepto 6426100     REM Vig 01/01/13</t>
  </si>
  <si>
    <t>Concepto 6418100     REM Vig 01/01/13</t>
  </si>
  <si>
    <t>TOTAL BASICO MENSUAL CPTO 6369</t>
  </si>
  <si>
    <t>nr</t>
  </si>
  <si>
    <t>r</t>
  </si>
  <si>
    <t>Profesionales con  y sin especialidad</t>
  </si>
  <si>
    <t>enero 21 igual</t>
  </si>
  <si>
    <t>COEFICIENTE</t>
  </si>
  <si>
    <t>CARRERA DE PROFESIONALES DE SALUD - REMUNERACIONES DESDE NOVIEMBRE 2020</t>
  </si>
  <si>
    <t>CARRERA DE PROFESIONALES DE SALUD - REMUNERACIONES ENERO 2020 (base marzo 19+ipcba -abr-dic 34,94%)</t>
  </si>
  <si>
    <t>coef s/col D</t>
  </si>
  <si>
    <t>Suma no rem. CPH/RES 2016 ACTA 74/16 A/P hasta Feb/20  cpto 6478</t>
  </si>
  <si>
    <t>Complemento remunerativo Acta 01/19 cpto 6387000 a Enero 2020</t>
  </si>
  <si>
    <t xml:space="preserve">Base total  de Haberes Rem y No rem a  ENERO 2020  </t>
  </si>
  <si>
    <t>Suma AP 08/2020            Cpto 6255600 Marzo 2021</t>
  </si>
  <si>
    <t>Suma AP 01/2021 Cpto 6389000  (*)</t>
  </si>
  <si>
    <t xml:space="preserve">SUMA NR CPH 2016 cpto 6478000           desde diciembre 2021  </t>
  </si>
  <si>
    <t xml:space="preserve">SUMA NR CPH 2016 cpto 6478000           desde marzo 2021  </t>
  </si>
  <si>
    <t>Adicional no remunerativo CPH/Resid  Acta 75/17 Enero 2022   Cpto 6294000</t>
  </si>
  <si>
    <t>TOTAL DE HABERES            ENERO 2022</t>
  </si>
  <si>
    <t>Suma Fija 2020 - Concepto 6254000 no remunerativo no bonificable - equivalente al 7,9% a diciembre 19 -Acta 01/2020 AMM   Febrero-Marzo</t>
  </si>
  <si>
    <t>Suma Fija 2020 - Concepto 6254000 no remunerativo no bonificable - equivalente al 7,9% a diciembre 19 -Acta AMM  del 08/04/2020  Abril - Junio</t>
  </si>
  <si>
    <t>Suma Fija 2020 - Concepto 6254000 no remunerativo no bonificable - equivalente al 7,9% a diciembre 19 -Acta AMM  del 08/04/2020  Julio - octubre</t>
  </si>
  <si>
    <t>Concepto 6255600 -Suma AP 08/2020 no remunerativo no bonificable - a partir de mazo 2021 tiene un reajuste de $ 4000 s/base febrero 2021</t>
  </si>
  <si>
    <t xml:space="preserve">Concepto 6478000- Suma NR CPH 2016:  las sumas fijas de este concepto se reajustan desde marzo 2021 en $ 4,000. Este incremento no es base de calculo de ninguna otra suma  </t>
  </si>
  <si>
    <t xml:space="preserve">Concepto 6478000- Suma NR CPH 2016:  este concepto tiene un incremento a partir del 01/12/21. Este incremento no es base de calculo de ninguna otra suma  </t>
  </si>
  <si>
    <r>
      <t xml:space="preserve">Concepro 6478 - Suma NR CPH 2016- la mejora de Diciembre 2021 se compone con esta Formula: </t>
    </r>
    <r>
      <rPr>
        <sz val="10"/>
        <rFont val="Calibri"/>
        <family val="2"/>
      </rPr>
      <t>∑ ((</t>
    </r>
    <r>
      <rPr>
        <sz val="10"/>
        <rFont val="Arial"/>
        <family val="2"/>
      </rPr>
      <t xml:space="preserve">valor original+$4000)+(valor cpto 6387*0,14131254)+120). Este ultimo guarismo es el aumento s/$ 4000 </t>
    </r>
  </si>
  <si>
    <t xml:space="preserve">(*) Concepto 6389 -Suma AP 01/2021: Incrementos a partir de Diciembre  2021:  45% s/ suma de conceptos remunerativos y no remunerativos, sin incluir el incremento cpto 647800 - AP 02/21 y 03/21 </t>
  </si>
  <si>
    <t xml:space="preserve">Esta mejora es equivalente a aplicar la siguiente formula:  (Monto concepto 6387000*coef. 2,119688036)+ $ 1800.   Este ultimo importe responde al 45% s/incremento del concepto Suma AP 08/2020   </t>
  </si>
  <si>
    <t xml:space="preserve">Bono Unico -acordado por Acta Paritaria 03/2021- $ 16,000,- por agente adelantado el 22/01/22 y con pago definitivo en paga de enero 22  </t>
  </si>
  <si>
    <t>total enero 20</t>
  </si>
  <si>
    <t>suma del 6255600</t>
  </si>
  <si>
    <t>cpto 6255600 suma ap 08/20 NR</t>
  </si>
  <si>
    <t>coeficiente+1800</t>
  </si>
  <si>
    <t>Suma AP 01/2021 Cpto 6389000  (*) dic/21 hasta feb/22</t>
  </si>
  <si>
    <t>total dic 21</t>
  </si>
  <si>
    <t xml:space="preserve">se agrega </t>
  </si>
  <si>
    <t>solo a enero</t>
  </si>
  <si>
    <t>TOTAL DE HABERES            febrero 2022</t>
  </si>
  <si>
    <t>Marzo 2022</t>
  </si>
  <si>
    <t>Concepto 629400- adic NR CPH/RES acta 75/17: conforme cta 03/2021 punto cuarto, se incrementa en $ 9,000,- unicamente por el mes de enero 2022</t>
  </si>
  <si>
    <t>RESOL-2022-XXXX-GCABA-MHFGC -15% S/Base remunerativa+no remunerativas) de enero 2022 (*)</t>
  </si>
  <si>
    <t>TOTAL DE HABERES DESDE MARZO 2022</t>
  </si>
  <si>
    <r>
      <t>(*)Concepto 6389 Suma AP 01/2021:  mediante RESOL- 2022-XXXX -MHFGC  se dispone un incremento remunerativo del 15% sobre la base salarial enero 22, sin considerar los incrementos acordados para el concepto 6478 en mar/21 y dic/21 y para el concepto 6294000 en enero 22.  A tal fin, la formula aplicada es =</t>
    </r>
    <r>
      <rPr>
        <sz val="10"/>
        <rFont val="Calibri"/>
        <family val="2"/>
      </rPr>
      <t>∑(</t>
    </r>
    <r>
      <rPr>
        <sz val="10"/>
        <rFont val="Arial"/>
        <family val="2"/>
      </rPr>
      <t>(monto cpto 6387*coef 3,1654)+2688).  La suma fija agregada corresponde a los incrementos 2021+2022, calculado s/$ 4.000 integrados en el concepto 6255600 Suma AP 08/2020</t>
    </r>
    <r>
      <rPr>
        <sz val="10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</si>
</sst>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.00"/>
    <numFmt numFmtId="165" formatCode="_ &quot;$&quot;\ * #,##0.00_ ;_ &quot;$&quot;\ * \-#,##0.00_ ;_ &quot;$&quot;\ * &quot;-&quot;??_ ;_ @_ "/>
    <numFmt numFmtId="166" formatCode="0.0000000"/>
    <numFmt numFmtId="167" formatCode="0.0000"/>
    <numFmt numFmtId="168" formatCode="#,##0.000000000"/>
    <numFmt numFmtId="169" formatCode="0.0000000000"/>
    <numFmt numFmtId="170" formatCode="#,##0.00000000"/>
    <numFmt numFmtId="171" formatCode="0.000000000"/>
    <numFmt numFmtId="172" formatCode="0.000000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C6E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0" fillId="0" borderId="0" xfId="0" applyNumberFormat="1"/>
    <xf numFmtId="2" fontId="0" fillId="0" borderId="0" xfId="0" applyNumberFormat="1" applyAlignment="1">
      <alignment horizontal="left" wrapText="1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1" applyFont="1"/>
    <xf numFmtId="9" fontId="0" fillId="0" borderId="1" xfId="1" applyNumberFormat="1" applyFont="1" applyBorder="1" applyAlignment="1">
      <alignment horizontal="center"/>
    </xf>
    <xf numFmtId="166" fontId="0" fillId="2" borderId="0" xfId="1" applyNumberFormat="1" applyFont="1" applyFill="1"/>
    <xf numFmtId="2" fontId="0" fillId="0" borderId="1" xfId="0" applyNumberFormat="1" applyFill="1" applyBorder="1" applyAlignment="1">
      <alignment horizontal="center"/>
    </xf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/>
    <xf numFmtId="4" fontId="0" fillId="0" borderId="0" xfId="0" applyNumberFormat="1" applyBorder="1"/>
    <xf numFmtId="3" fontId="0" fillId="0" borderId="0" xfId="0" applyNumberFormat="1" applyBorder="1"/>
    <xf numFmtId="4" fontId="0" fillId="0" borderId="1" xfId="0" applyNumberFormat="1" applyBorder="1"/>
    <xf numFmtId="49" fontId="2" fillId="0" borderId="1" xfId="0" applyNumberFormat="1" applyFont="1" applyBorder="1"/>
    <xf numFmtId="167" fontId="0" fillId="0" borderId="0" xfId="0" applyNumberFormat="1"/>
    <xf numFmtId="2" fontId="0" fillId="2" borderId="0" xfId="1" applyNumberFormat="1" applyFont="1" applyFill="1"/>
    <xf numFmtId="164" fontId="0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" xfId="1" applyNumberFormat="1" applyFont="1" applyFill="1" applyBorder="1" applyAlignment="1">
      <alignment horizontal="center"/>
    </xf>
    <xf numFmtId="3" fontId="0" fillId="3" borderId="0" xfId="0" applyNumberFormat="1" applyFill="1"/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49" fontId="0" fillId="0" borderId="1" xfId="0" applyNumberFormat="1" applyBorder="1"/>
    <xf numFmtId="2" fontId="0" fillId="4" borderId="1" xfId="0" applyNumberForma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/>
    <xf numFmtId="49" fontId="2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/>
    <xf numFmtId="49" fontId="0" fillId="0" borderId="1" xfId="0" applyNumberFormat="1" applyFill="1" applyBorder="1" applyAlignment="1"/>
    <xf numFmtId="49" fontId="8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/>
    <xf numFmtId="49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2" fontId="9" fillId="5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2" fontId="7" fillId="0" borderId="0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2" fontId="0" fillId="0" borderId="0" xfId="1" applyNumberFormat="1" applyFont="1" applyBorder="1"/>
    <xf numFmtId="9" fontId="0" fillId="0" borderId="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8" fillId="9" borderId="1" xfId="0" applyNumberFormat="1" applyFont="1" applyFill="1" applyBorder="1" applyAlignment="1">
      <alignment horizontal="center"/>
    </xf>
    <xf numFmtId="2" fontId="0" fillId="9" borderId="1" xfId="0" applyNumberFormat="1" applyFon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/>
    </xf>
    <xf numFmtId="4" fontId="0" fillId="9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center"/>
    </xf>
    <xf numFmtId="0" fontId="2" fillId="0" borderId="0" xfId="2"/>
    <xf numFmtId="2" fontId="2" fillId="0" borderId="0" xfId="2" applyNumberFormat="1"/>
    <xf numFmtId="0" fontId="2" fillId="0" borderId="0" xfId="2" applyBorder="1" applyAlignment="1">
      <alignment horizontal="center"/>
    </xf>
    <xf numFmtId="0" fontId="2" fillId="0" borderId="0" xfId="2" applyAlignment="1">
      <alignment horizontal="center" vertical="center"/>
    </xf>
    <xf numFmtId="0" fontId="2" fillId="0" borderId="0" xfId="2" applyBorder="1"/>
    <xf numFmtId="17" fontId="2" fillId="0" borderId="0" xfId="2" applyNumberFormat="1" applyBorder="1"/>
    <xf numFmtId="49" fontId="8" fillId="0" borderId="0" xfId="2" applyNumberFormat="1" applyFont="1"/>
    <xf numFmtId="49" fontId="9" fillId="0" borderId="1" xfId="2" applyNumberFormat="1" applyFont="1" applyBorder="1" applyAlignment="1">
      <alignment horizontal="center" vertical="center" wrapText="1"/>
    </xf>
    <xf numFmtId="49" fontId="9" fillId="0" borderId="4" xfId="2" applyNumberFormat="1" applyFont="1" applyBorder="1" applyAlignment="1">
      <alignment horizontal="center" vertical="center" wrapText="1"/>
    </xf>
    <xf numFmtId="2" fontId="9" fillId="7" borderId="1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0" xfId="2" applyNumberFormat="1" applyFont="1" applyFill="1" applyBorder="1" applyAlignment="1">
      <alignment horizontal="center" vertical="center" wrapText="1"/>
    </xf>
    <xf numFmtId="2" fontId="9" fillId="10" borderId="1" xfId="3" applyNumberFormat="1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/>
    <xf numFmtId="0" fontId="8" fillId="0" borderId="1" xfId="2" applyFont="1" applyFill="1" applyBorder="1" applyAlignment="1">
      <alignment horizontal="center"/>
    </xf>
    <xf numFmtId="49" fontId="8" fillId="0" borderId="4" xfId="2" applyNumberFormat="1" applyFont="1" applyFill="1" applyBorder="1" applyAlignment="1"/>
    <xf numFmtId="2" fontId="2" fillId="0" borderId="1" xfId="2" applyNumberFormat="1" applyFill="1" applyBorder="1" applyAlignment="1">
      <alignment horizontal="center"/>
    </xf>
    <xf numFmtId="164" fontId="2" fillId="0" borderId="1" xfId="2" applyNumberFormat="1" applyBorder="1" applyAlignment="1">
      <alignment horizontal="center"/>
    </xf>
    <xf numFmtId="164" fontId="2" fillId="0" borderId="0" xfId="2" applyNumberFormat="1"/>
    <xf numFmtId="164" fontId="2" fillId="0" borderId="0" xfId="2" applyNumberFormat="1" applyBorder="1" applyAlignment="1">
      <alignment horizontal="center"/>
    </xf>
    <xf numFmtId="2" fontId="0" fillId="0" borderId="0" xfId="4" applyNumberFormat="1" applyFont="1"/>
    <xf numFmtId="164" fontId="2" fillId="0" borderId="1" xfId="2" applyNumberFormat="1" applyBorder="1"/>
    <xf numFmtId="164" fontId="2" fillId="0" borderId="1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164" fontId="2" fillId="0" borderId="1" xfId="2" applyNumberFormat="1" applyFill="1" applyBorder="1" applyAlignment="1">
      <alignment horizontal="center"/>
    </xf>
    <xf numFmtId="49" fontId="2" fillId="0" borderId="1" xfId="2" applyNumberFormat="1" applyFont="1" applyFill="1" applyBorder="1"/>
    <xf numFmtId="0" fontId="2" fillId="0" borderId="1" xfId="2" applyFont="1" applyFill="1" applyBorder="1" applyAlignment="1">
      <alignment horizontal="center"/>
    </xf>
    <xf numFmtId="49" fontId="2" fillId="0" borderId="4" xfId="2" applyNumberFormat="1" applyFill="1" applyBorder="1" applyAlignment="1"/>
    <xf numFmtId="49" fontId="2" fillId="0" borderId="4" xfId="2" applyNumberFormat="1" applyFont="1" applyFill="1" applyBorder="1" applyAlignment="1"/>
    <xf numFmtId="170" fontId="2" fillId="0" borderId="0" xfId="2" applyNumberFormat="1"/>
    <xf numFmtId="171" fontId="2" fillId="0" borderId="0" xfId="2" applyNumberFormat="1"/>
    <xf numFmtId="172" fontId="2" fillId="0" borderId="0" xfId="2" applyNumberFormat="1"/>
    <xf numFmtId="164" fontId="2" fillId="0" borderId="0" xfId="2" applyNumberFormat="1" applyBorder="1" applyAlignment="1">
      <alignment horizontal="left"/>
    </xf>
    <xf numFmtId="172" fontId="2" fillId="0" borderId="0" xfId="2" applyNumberForma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49" fontId="8" fillId="2" borderId="1" xfId="2" applyNumberFormat="1" applyFont="1" applyFill="1" applyBorder="1"/>
    <xf numFmtId="0" fontId="8" fillId="2" borderId="1" xfId="2" applyFont="1" applyFill="1" applyBorder="1" applyAlignment="1">
      <alignment horizontal="center"/>
    </xf>
    <xf numFmtId="49" fontId="8" fillId="2" borderId="4" xfId="2" applyNumberFormat="1" applyFont="1" applyFill="1" applyBorder="1" applyAlignment="1"/>
    <xf numFmtId="49" fontId="2" fillId="0" borderId="1" xfId="2" applyNumberFormat="1" applyFont="1" applyBorder="1"/>
    <xf numFmtId="49" fontId="2" fillId="0" borderId="4" xfId="2" applyNumberFormat="1" applyFont="1" applyBorder="1" applyAlignment="1"/>
    <xf numFmtId="0" fontId="2" fillId="0" borderId="1" xfId="2" applyFont="1" applyBorder="1" applyAlignment="1">
      <alignment horizontal="center"/>
    </xf>
    <xf numFmtId="49" fontId="8" fillId="2" borderId="4" xfId="2" applyNumberFormat="1" applyFont="1" applyFill="1" applyBorder="1" applyAlignment="1">
      <alignment horizontal="center"/>
    </xf>
    <xf numFmtId="49" fontId="2" fillId="0" borderId="4" xfId="2" applyNumberFormat="1" applyFont="1" applyBorder="1" applyAlignment="1">
      <alignment horizontal="center"/>
    </xf>
    <xf numFmtId="49" fontId="8" fillId="0" borderId="1" xfId="2" applyNumberFormat="1" applyFont="1" applyBorder="1"/>
    <xf numFmtId="0" fontId="8" fillId="0" borderId="1" xfId="2" applyFont="1" applyBorder="1" applyAlignment="1">
      <alignment horizontal="center"/>
    </xf>
    <xf numFmtId="49" fontId="2" fillId="0" borderId="1" xfId="2" applyNumberFormat="1" applyBorder="1"/>
    <xf numFmtId="4" fontId="2" fillId="0" borderId="0" xfId="2" applyNumberFormat="1"/>
    <xf numFmtId="49" fontId="2" fillId="0" borderId="1" xfId="2" applyNumberFormat="1" applyFont="1" applyBorder="1" applyAlignment="1">
      <alignment horizontal="center"/>
    </xf>
    <xf numFmtId="49" fontId="2" fillId="0" borderId="0" xfId="2" applyNumberFormat="1" applyFont="1" applyBorder="1"/>
    <xf numFmtId="0" fontId="2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49" fontId="2" fillId="0" borderId="0" xfId="2" applyNumberFormat="1" applyFont="1" applyFill="1" applyBorder="1"/>
    <xf numFmtId="1" fontId="2" fillId="0" borderId="0" xfId="2" applyNumberFormat="1"/>
    <xf numFmtId="0" fontId="2" fillId="0" borderId="1" xfId="2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44" fontId="0" fillId="0" borderId="1" xfId="0" applyNumberFormat="1" applyBorder="1"/>
    <xf numFmtId="164" fontId="0" fillId="0" borderId="1" xfId="0" applyNumberFormat="1" applyBorder="1"/>
    <xf numFmtId="0" fontId="2" fillId="0" borderId="1" xfId="2" applyBorder="1"/>
    <xf numFmtId="49" fontId="2" fillId="0" borderId="0" xfId="2" applyNumberFormat="1" applyFont="1" applyFill="1" applyBorder="1" applyAlignment="1"/>
    <xf numFmtId="0" fontId="2" fillId="0" borderId="0" xfId="2" applyAlignment="1"/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0" fontId="0" fillId="0" borderId="1" xfId="2" applyFont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Border="1" applyAlignment="1">
      <alignment horizontal="left" wrapText="1"/>
    </xf>
    <xf numFmtId="0" fontId="0" fillId="0" borderId="1" xfId="2" applyFont="1" applyBorder="1" applyAlignment="1">
      <alignment horizontal="left"/>
    </xf>
    <xf numFmtId="0" fontId="2" fillId="0" borderId="1" xfId="2" applyBorder="1" applyAlignment="1">
      <alignment horizontal="left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Alignment="1">
      <alignment horizontal="left" wrapText="1"/>
    </xf>
    <xf numFmtId="4" fontId="0" fillId="0" borderId="0" xfId="0" applyNumberFormat="1" applyAlignment="1">
      <alignment horizontal="left"/>
    </xf>
  </cellXfs>
  <cellStyles count="5">
    <cellStyle name="Moneda" xfId="1" builtinId="4"/>
    <cellStyle name="Normal" xfId="0" builtinId="0"/>
    <cellStyle name="Normal 2" xfId="2"/>
    <cellStyle name="Normal 3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workbookViewId="0">
      <selection activeCell="I5" sqref="I5:I93"/>
    </sheetView>
  </sheetViews>
  <sheetFormatPr baseColWidth="10" defaultRowHeight="12.75" x14ac:dyDescent="0.2"/>
  <cols>
    <col min="1" max="1" width="37.85546875" style="99" bestFit="1" customWidth="1"/>
    <col min="2" max="2" width="3" style="99" bestFit="1" customWidth="1"/>
    <col min="3" max="3" width="14.140625" style="99" bestFit="1" customWidth="1"/>
    <col min="4" max="4" width="14.140625" style="99" customWidth="1"/>
    <col min="5" max="5" width="15.5703125" style="101" customWidth="1"/>
    <col min="6" max="6" width="15.28515625" style="99" customWidth="1"/>
    <col min="7" max="7" width="2.140625" style="99" customWidth="1"/>
    <col min="8" max="8" width="17.140625" style="99" customWidth="1"/>
    <col min="9" max="9" width="16.140625" style="99" customWidth="1"/>
    <col min="10" max="10" width="1.5703125" style="99" customWidth="1"/>
    <col min="11" max="11" width="17.7109375" style="99" customWidth="1"/>
    <col min="12" max="12" width="2.7109375" style="99" customWidth="1"/>
    <col min="13" max="13" width="14.7109375" style="99" customWidth="1"/>
    <col min="14" max="14" width="2.28515625" style="100" customWidth="1"/>
    <col min="15" max="15" width="16.140625" style="99" hidden="1" customWidth="1"/>
    <col min="16" max="16" width="12.5703125" style="99" hidden="1" customWidth="1"/>
    <col min="17" max="17" width="11.42578125" style="99" hidden="1" customWidth="1"/>
    <col min="18" max="16384" width="11.42578125" style="99"/>
  </cols>
  <sheetData>
    <row r="1" spans="1:17" ht="39" customHeight="1" x14ac:dyDescent="0.2">
      <c r="A1" s="170" t="s">
        <v>151</v>
      </c>
      <c r="B1" s="170"/>
      <c r="C1" s="170"/>
      <c r="D1" s="170"/>
      <c r="E1" s="170"/>
      <c r="F1" s="170"/>
      <c r="H1" s="171" t="s">
        <v>183</v>
      </c>
      <c r="I1" s="171"/>
      <c r="J1" s="171"/>
      <c r="K1" s="171"/>
      <c r="L1" s="171"/>
      <c r="M1" s="171"/>
    </row>
    <row r="2" spans="1:17" x14ac:dyDescent="0.2">
      <c r="I2" s="102" t="s">
        <v>152</v>
      </c>
      <c r="J2" s="103"/>
      <c r="K2" s="104"/>
      <c r="O2" s="104"/>
    </row>
    <row r="3" spans="1:17" x14ac:dyDescent="0.2">
      <c r="H3" s="105" t="s">
        <v>181</v>
      </c>
      <c r="I3" s="99">
        <v>3.1654</v>
      </c>
      <c r="J3" s="103"/>
      <c r="K3" s="103"/>
      <c r="O3" s="103"/>
    </row>
    <row r="4" spans="1:17" ht="63.75" x14ac:dyDescent="0.2">
      <c r="A4" s="106" t="s">
        <v>123</v>
      </c>
      <c r="B4" s="106"/>
      <c r="C4" s="107" t="s">
        <v>111</v>
      </c>
      <c r="D4" s="108" t="s">
        <v>153</v>
      </c>
      <c r="E4" s="109" t="s">
        <v>154</v>
      </c>
      <c r="F4" s="110" t="s">
        <v>155</v>
      </c>
      <c r="H4" s="110" t="s">
        <v>156</v>
      </c>
      <c r="I4" s="110" t="s">
        <v>157</v>
      </c>
      <c r="J4" s="111"/>
      <c r="K4" s="110" t="s">
        <v>158</v>
      </c>
      <c r="L4" s="111"/>
      <c r="M4" s="110" t="s">
        <v>184</v>
      </c>
      <c r="O4" s="110" t="s">
        <v>159</v>
      </c>
    </row>
    <row r="5" spans="1:17" x14ac:dyDescent="0.2">
      <c r="A5" s="114" t="s">
        <v>105</v>
      </c>
      <c r="B5" s="115">
        <v>30</v>
      </c>
      <c r="C5" s="116" t="s">
        <v>106</v>
      </c>
      <c r="D5" s="117">
        <v>2778</v>
      </c>
      <c r="E5" s="118">
        <v>14730.53</v>
      </c>
      <c r="F5" s="118">
        <v>56890.02</v>
      </c>
      <c r="G5" s="119"/>
      <c r="H5" s="118">
        <v>16497</v>
      </c>
      <c r="I5" s="118">
        <f>(+E5*$I$3)+2688</f>
        <v>49316.019661999999</v>
      </c>
      <c r="J5" s="120"/>
      <c r="K5" s="118">
        <v>8980</v>
      </c>
      <c r="L5" s="121"/>
      <c r="M5" s="122">
        <f>+F5-D5+H5+I5+K5</f>
        <v>128905.039662</v>
      </c>
      <c r="O5" s="118">
        <v>6778</v>
      </c>
      <c r="P5" s="119">
        <f t="shared" ref="P5:P36" si="0">(+O5+(E5*0.14131254)+120)</f>
        <v>8979.6086098462001</v>
      </c>
      <c r="Q5" s="119">
        <v>8980</v>
      </c>
    </row>
    <row r="6" spans="1:17" x14ac:dyDescent="0.2">
      <c r="A6" s="126" t="s">
        <v>105</v>
      </c>
      <c r="B6" s="127">
        <v>15</v>
      </c>
      <c r="C6" s="128" t="s">
        <v>104</v>
      </c>
      <c r="D6" s="117">
        <v>1389</v>
      </c>
      <c r="E6" s="118">
        <v>14395.21</v>
      </c>
      <c r="F6" s="118">
        <v>55594.99</v>
      </c>
      <c r="H6" s="118">
        <v>12650</v>
      </c>
      <c r="I6" s="118">
        <f t="shared" ref="I6:I69" si="1">(+E6*$I$3)+2688</f>
        <v>48254.597733999995</v>
      </c>
      <c r="J6" s="120"/>
      <c r="K6" s="118">
        <v>6950</v>
      </c>
      <c r="L6" s="119"/>
      <c r="M6" s="122">
        <f t="shared" ref="M6:M69" si="2">+F6-D6+H6+I6+K6</f>
        <v>122060.58773399999</v>
      </c>
      <c r="O6" s="118">
        <v>5389</v>
      </c>
      <c r="P6" s="119">
        <f t="shared" si="0"/>
        <v>7543.2236889333999</v>
      </c>
      <c r="Q6" s="119">
        <v>6950</v>
      </c>
    </row>
    <row r="7" spans="1:17" x14ac:dyDescent="0.2">
      <c r="A7" s="126" t="s">
        <v>105</v>
      </c>
      <c r="B7" s="127">
        <v>24</v>
      </c>
      <c r="C7" s="129" t="s">
        <v>104</v>
      </c>
      <c r="D7" s="117">
        <v>2557</v>
      </c>
      <c r="E7" s="118">
        <v>13580.38</v>
      </c>
      <c r="F7" s="118">
        <v>52448.1</v>
      </c>
      <c r="H7" s="118">
        <v>15521</v>
      </c>
      <c r="I7" s="118">
        <f t="shared" si="1"/>
        <v>45675.334852</v>
      </c>
      <c r="J7" s="120"/>
      <c r="K7" s="118">
        <v>8596</v>
      </c>
      <c r="L7" s="130"/>
      <c r="M7" s="122">
        <f t="shared" si="2"/>
        <v>119683.43485200001</v>
      </c>
      <c r="O7" s="118">
        <v>6557</v>
      </c>
      <c r="P7" s="119">
        <f t="shared" si="0"/>
        <v>8596.0779919651995</v>
      </c>
      <c r="Q7" s="119">
        <v>8596</v>
      </c>
    </row>
    <row r="8" spans="1:17" x14ac:dyDescent="0.2">
      <c r="A8" s="126" t="s">
        <v>105</v>
      </c>
      <c r="B8" s="127">
        <v>28</v>
      </c>
      <c r="C8" s="129" t="s">
        <v>104</v>
      </c>
      <c r="D8" s="117">
        <v>2705</v>
      </c>
      <c r="E8" s="118">
        <v>14347.98</v>
      </c>
      <c r="F8" s="118">
        <v>55412.6</v>
      </c>
      <c r="H8" s="118">
        <v>16172</v>
      </c>
      <c r="I8" s="118">
        <f t="shared" si="1"/>
        <v>48105.095891999998</v>
      </c>
      <c r="J8" s="120"/>
      <c r="K8" s="118">
        <v>8853</v>
      </c>
      <c r="L8" s="131"/>
      <c r="M8" s="122">
        <f t="shared" si="2"/>
        <v>125837.695892</v>
      </c>
      <c r="O8" s="118">
        <v>6705</v>
      </c>
      <c r="P8" s="119">
        <f t="shared" si="0"/>
        <v>8852.5494976691989</v>
      </c>
      <c r="Q8" s="119">
        <v>8853</v>
      </c>
    </row>
    <row r="9" spans="1:17" x14ac:dyDescent="0.2">
      <c r="A9" s="126" t="s">
        <v>105</v>
      </c>
      <c r="B9" s="127">
        <v>35</v>
      </c>
      <c r="C9" s="129" t="s">
        <v>104</v>
      </c>
      <c r="D9" s="117">
        <v>2963</v>
      </c>
      <c r="E9" s="118">
        <v>15690</v>
      </c>
      <c r="F9" s="118">
        <v>60595.55</v>
      </c>
      <c r="H9" s="118">
        <v>17311</v>
      </c>
      <c r="I9" s="118">
        <f t="shared" si="1"/>
        <v>52353.125999999997</v>
      </c>
      <c r="J9" s="120"/>
      <c r="K9" s="118">
        <v>9300</v>
      </c>
      <c r="L9" s="132"/>
      <c r="M9" s="122">
        <f t="shared" si="2"/>
        <v>136596.67600000001</v>
      </c>
      <c r="O9" s="118">
        <v>6963</v>
      </c>
      <c r="P9" s="119">
        <f t="shared" si="0"/>
        <v>9300.1937526000002</v>
      </c>
      <c r="Q9" s="119">
        <v>9300</v>
      </c>
    </row>
    <row r="10" spans="1:17" x14ac:dyDescent="0.2">
      <c r="A10" s="126" t="s">
        <v>105</v>
      </c>
      <c r="B10" s="127">
        <v>36</v>
      </c>
      <c r="C10" s="129" t="s">
        <v>104</v>
      </c>
      <c r="D10" s="117">
        <v>3000</v>
      </c>
      <c r="E10" s="118">
        <v>15881.88</v>
      </c>
      <c r="F10" s="118">
        <v>61336.59</v>
      </c>
      <c r="H10" s="118">
        <v>17474</v>
      </c>
      <c r="I10" s="118">
        <f t="shared" si="1"/>
        <v>52960.502951999995</v>
      </c>
      <c r="J10" s="120"/>
      <c r="K10" s="118">
        <v>9364</v>
      </c>
      <c r="L10" s="132"/>
      <c r="M10" s="122">
        <f t="shared" si="2"/>
        <v>138135.09295199998</v>
      </c>
      <c r="O10" s="118">
        <v>7000</v>
      </c>
      <c r="P10" s="119">
        <f t="shared" si="0"/>
        <v>9364.3088027752001</v>
      </c>
      <c r="Q10" s="119">
        <v>9364</v>
      </c>
    </row>
    <row r="11" spans="1:17" x14ac:dyDescent="0.2">
      <c r="A11" s="126" t="s">
        <v>105</v>
      </c>
      <c r="B11" s="127">
        <v>40</v>
      </c>
      <c r="C11" s="129" t="s">
        <v>104</v>
      </c>
      <c r="D11" s="117">
        <v>3243</v>
      </c>
      <c r="E11" s="118">
        <v>17145.73</v>
      </c>
      <c r="F11" s="118">
        <v>66217.64</v>
      </c>
      <c r="H11" s="118">
        <v>18546</v>
      </c>
      <c r="I11" s="118">
        <f t="shared" si="1"/>
        <v>56961.093741999997</v>
      </c>
      <c r="J11" s="133"/>
      <c r="K11" s="118">
        <v>9786</v>
      </c>
      <c r="L11" s="132"/>
      <c r="M11" s="122">
        <f t="shared" si="2"/>
        <v>148267.73374200001</v>
      </c>
      <c r="O11" s="118">
        <v>7243</v>
      </c>
      <c r="P11" s="119">
        <f t="shared" si="0"/>
        <v>9785.906656454199</v>
      </c>
      <c r="Q11" s="119">
        <v>9786</v>
      </c>
    </row>
    <row r="12" spans="1:17" x14ac:dyDescent="0.2">
      <c r="A12" s="126" t="s">
        <v>105</v>
      </c>
      <c r="B12" s="127">
        <v>44</v>
      </c>
      <c r="C12" s="129" t="s">
        <v>104</v>
      </c>
      <c r="D12" s="117">
        <v>3390</v>
      </c>
      <c r="E12" s="118">
        <v>17912.38</v>
      </c>
      <c r="F12" s="118">
        <v>69178.48</v>
      </c>
      <c r="H12" s="118">
        <v>19196</v>
      </c>
      <c r="I12" s="118">
        <f t="shared" si="1"/>
        <v>59387.847652000004</v>
      </c>
      <c r="J12" s="134"/>
      <c r="K12" s="118">
        <v>10041</v>
      </c>
      <c r="M12" s="122">
        <f t="shared" si="2"/>
        <v>154413.32765200001</v>
      </c>
      <c r="O12" s="118">
        <v>7390</v>
      </c>
      <c r="P12" s="119">
        <f t="shared" si="0"/>
        <v>10041.243915245199</v>
      </c>
      <c r="Q12" s="119">
        <v>10041</v>
      </c>
    </row>
    <row r="13" spans="1:17" ht="15" x14ac:dyDescent="0.25">
      <c r="A13" s="135"/>
      <c r="B13" s="135"/>
      <c r="C13" s="136"/>
      <c r="D13" s="117"/>
      <c r="E13" s="118"/>
      <c r="F13" s="118"/>
      <c r="H13" s="118"/>
      <c r="I13" s="118"/>
      <c r="J13" s="120"/>
      <c r="K13" s="118"/>
      <c r="L13" s="100"/>
      <c r="M13" s="122"/>
      <c r="O13" s="118"/>
      <c r="P13" s="119">
        <f t="shared" si="0"/>
        <v>120</v>
      </c>
      <c r="Q13" s="119">
        <v>120</v>
      </c>
    </row>
    <row r="14" spans="1:17" x14ac:dyDescent="0.2">
      <c r="A14" s="137" t="s">
        <v>103</v>
      </c>
      <c r="B14" s="138">
        <v>30</v>
      </c>
      <c r="C14" s="139" t="s">
        <v>102</v>
      </c>
      <c r="D14" s="117">
        <v>2901</v>
      </c>
      <c r="E14" s="118">
        <v>15368.33</v>
      </c>
      <c r="F14" s="118">
        <v>59353.26</v>
      </c>
      <c r="H14" s="118">
        <v>17038</v>
      </c>
      <c r="I14" s="118">
        <f t="shared" si="1"/>
        <v>51334.911782000003</v>
      </c>
      <c r="J14" s="120"/>
      <c r="K14" s="118">
        <v>9193</v>
      </c>
      <c r="M14" s="122">
        <f t="shared" si="2"/>
        <v>134018.17178200002</v>
      </c>
      <c r="O14" s="118">
        <v>6901</v>
      </c>
      <c r="P14" s="119">
        <f t="shared" si="0"/>
        <v>9192.7377478582002</v>
      </c>
      <c r="Q14" s="119">
        <v>9193</v>
      </c>
    </row>
    <row r="15" spans="1:17" x14ac:dyDescent="0.2">
      <c r="A15" s="140" t="s">
        <v>101</v>
      </c>
      <c r="B15" s="127">
        <v>15</v>
      </c>
      <c r="C15" s="141" t="s">
        <v>100</v>
      </c>
      <c r="D15" s="117">
        <v>1451</v>
      </c>
      <c r="E15" s="118">
        <v>10515.62</v>
      </c>
      <c r="F15" s="118">
        <v>40611.85</v>
      </c>
      <c r="H15" s="118">
        <v>12921</v>
      </c>
      <c r="I15" s="118">
        <f t="shared" si="1"/>
        <v>35974.143548</v>
      </c>
      <c r="J15" s="120"/>
      <c r="K15" s="118">
        <v>7057</v>
      </c>
      <c r="M15" s="122">
        <f t="shared" si="2"/>
        <v>95112.993547999999</v>
      </c>
      <c r="O15" s="118">
        <v>5451</v>
      </c>
      <c r="P15" s="119">
        <f t="shared" si="0"/>
        <v>7056.9889718748</v>
      </c>
      <c r="Q15" s="119">
        <v>7057</v>
      </c>
    </row>
    <row r="16" spans="1:17" x14ac:dyDescent="0.2">
      <c r="A16" s="140" t="s">
        <v>101</v>
      </c>
      <c r="B16" s="127">
        <v>24</v>
      </c>
      <c r="C16" s="141" t="s">
        <v>100</v>
      </c>
      <c r="D16" s="117">
        <v>2655</v>
      </c>
      <c r="E16" s="118">
        <v>14090.31</v>
      </c>
      <c r="F16" s="118">
        <v>54417.48</v>
      </c>
      <c r="H16" s="118">
        <v>15954</v>
      </c>
      <c r="I16" s="118">
        <f t="shared" si="1"/>
        <v>47289.467273999995</v>
      </c>
      <c r="J16" s="120"/>
      <c r="K16" s="118">
        <v>8766</v>
      </c>
      <c r="M16" s="122">
        <f t="shared" si="2"/>
        <v>123771.94727400001</v>
      </c>
      <c r="O16" s="118">
        <v>6655</v>
      </c>
      <c r="P16" s="119">
        <f t="shared" si="0"/>
        <v>8766.1374954873991</v>
      </c>
      <c r="Q16" s="119">
        <v>8766</v>
      </c>
    </row>
    <row r="17" spans="1:17" x14ac:dyDescent="0.2">
      <c r="A17" s="140" t="s">
        <v>101</v>
      </c>
      <c r="B17" s="127">
        <v>28</v>
      </c>
      <c r="C17" s="141" t="s">
        <v>100</v>
      </c>
      <c r="D17" s="117">
        <v>2819</v>
      </c>
      <c r="E17" s="118">
        <v>14942.89</v>
      </c>
      <c r="F17" s="118">
        <v>57710.19</v>
      </c>
      <c r="H17" s="118">
        <v>16677</v>
      </c>
      <c r="I17" s="118">
        <f t="shared" si="1"/>
        <v>49988.224005999997</v>
      </c>
      <c r="J17" s="120"/>
      <c r="K17" s="118">
        <v>9051</v>
      </c>
      <c r="M17" s="122">
        <f t="shared" si="2"/>
        <v>130607.41400600001</v>
      </c>
      <c r="O17" s="118">
        <v>6819</v>
      </c>
      <c r="P17" s="119">
        <f t="shared" si="0"/>
        <v>9050.6177408406002</v>
      </c>
      <c r="Q17" s="119">
        <v>9051</v>
      </c>
    </row>
    <row r="18" spans="1:17" x14ac:dyDescent="0.2">
      <c r="A18" s="140" t="s">
        <v>101</v>
      </c>
      <c r="B18" s="127">
        <v>35</v>
      </c>
      <c r="C18" s="141" t="s">
        <v>100</v>
      </c>
      <c r="D18" s="117">
        <v>3106</v>
      </c>
      <c r="E18" s="118">
        <v>16433.580000000002</v>
      </c>
      <c r="F18" s="118">
        <v>63467.3</v>
      </c>
      <c r="H18" s="118">
        <v>17942</v>
      </c>
      <c r="I18" s="118">
        <f t="shared" si="1"/>
        <v>54706.854132000008</v>
      </c>
      <c r="J18" s="120"/>
      <c r="K18" s="118">
        <v>9548</v>
      </c>
      <c r="M18" s="122">
        <f t="shared" si="2"/>
        <v>142558.154132</v>
      </c>
      <c r="O18" s="118">
        <v>7106</v>
      </c>
      <c r="P18" s="119">
        <f t="shared" si="0"/>
        <v>9548.2709310932005</v>
      </c>
      <c r="Q18" s="119">
        <v>9548</v>
      </c>
    </row>
    <row r="19" spans="1:17" x14ac:dyDescent="0.2">
      <c r="A19" s="140" t="s">
        <v>101</v>
      </c>
      <c r="B19" s="127">
        <v>36</v>
      </c>
      <c r="C19" s="141" t="s">
        <v>100</v>
      </c>
      <c r="D19" s="117">
        <v>3189</v>
      </c>
      <c r="E19" s="118">
        <v>16897.75</v>
      </c>
      <c r="F19" s="118">
        <v>65259.95</v>
      </c>
      <c r="H19" s="118">
        <v>18336</v>
      </c>
      <c r="I19" s="118">
        <f t="shared" si="1"/>
        <v>56176.137849999999</v>
      </c>
      <c r="J19" s="120"/>
      <c r="K19" s="118">
        <v>9697</v>
      </c>
      <c r="M19" s="122">
        <f t="shared" si="2"/>
        <v>146280.08785000001</v>
      </c>
      <c r="O19" s="118">
        <v>7189</v>
      </c>
      <c r="P19" s="119">
        <f t="shared" si="0"/>
        <v>9696.8639727850004</v>
      </c>
      <c r="Q19" s="119">
        <v>9697</v>
      </c>
    </row>
    <row r="20" spans="1:17" x14ac:dyDescent="0.2">
      <c r="A20" s="140" t="s">
        <v>101</v>
      </c>
      <c r="B20" s="127">
        <v>40</v>
      </c>
      <c r="C20" s="141" t="s">
        <v>100</v>
      </c>
      <c r="D20" s="117">
        <v>3583</v>
      </c>
      <c r="E20" s="118">
        <v>18986.240000000002</v>
      </c>
      <c r="F20" s="118">
        <v>73325.8</v>
      </c>
      <c r="H20" s="118">
        <v>20107</v>
      </c>
      <c r="I20" s="118">
        <f t="shared" si="1"/>
        <v>62787.044096000005</v>
      </c>
      <c r="J20" s="120"/>
      <c r="K20" s="118">
        <v>10386</v>
      </c>
      <c r="M20" s="122">
        <f t="shared" si="2"/>
        <v>163022.84409600002</v>
      </c>
      <c r="O20" s="118">
        <v>7583</v>
      </c>
      <c r="P20" s="119">
        <f t="shared" si="0"/>
        <v>10385.993799449599</v>
      </c>
      <c r="Q20" s="119">
        <v>10386</v>
      </c>
    </row>
    <row r="21" spans="1:17" x14ac:dyDescent="0.2">
      <c r="A21" s="140" t="s">
        <v>101</v>
      </c>
      <c r="B21" s="127">
        <v>44</v>
      </c>
      <c r="C21" s="141" t="s">
        <v>100</v>
      </c>
      <c r="D21" s="117">
        <v>3775</v>
      </c>
      <c r="E21" s="118">
        <v>20006.009999999998</v>
      </c>
      <c r="F21" s="118">
        <v>77264.19</v>
      </c>
      <c r="H21" s="118">
        <v>20972</v>
      </c>
      <c r="I21" s="118">
        <f t="shared" si="1"/>
        <v>66015.024053999994</v>
      </c>
      <c r="J21" s="120"/>
      <c r="K21" s="118">
        <v>10722</v>
      </c>
      <c r="M21" s="122">
        <f t="shared" si="2"/>
        <v>171198.21405399998</v>
      </c>
      <c r="O21" s="118">
        <v>7775</v>
      </c>
      <c r="P21" s="119">
        <f t="shared" si="0"/>
        <v>10722.1000883654</v>
      </c>
      <c r="Q21" s="119">
        <v>10722</v>
      </c>
    </row>
    <row r="22" spans="1:17" ht="15" x14ac:dyDescent="0.25">
      <c r="A22" s="140"/>
      <c r="B22" s="142"/>
      <c r="C22" s="136"/>
      <c r="D22" s="117"/>
      <c r="E22" s="118"/>
      <c r="F22" s="118"/>
      <c r="H22" s="118"/>
      <c r="I22" s="118"/>
      <c r="J22" s="120"/>
      <c r="K22" s="118"/>
      <c r="M22" s="122"/>
      <c r="O22" s="118"/>
      <c r="P22" s="119">
        <f t="shared" si="0"/>
        <v>120</v>
      </c>
      <c r="Q22" s="119">
        <v>120</v>
      </c>
    </row>
    <row r="23" spans="1:17" x14ac:dyDescent="0.2">
      <c r="A23" s="137" t="s">
        <v>99</v>
      </c>
      <c r="B23" s="138">
        <v>30</v>
      </c>
      <c r="C23" s="143" t="s">
        <v>97</v>
      </c>
      <c r="D23" s="117">
        <v>3188</v>
      </c>
      <c r="E23" s="118">
        <v>16893.63</v>
      </c>
      <c r="F23" s="118">
        <v>65244.03</v>
      </c>
      <c r="H23" s="118">
        <v>18332</v>
      </c>
      <c r="I23" s="118">
        <f t="shared" si="1"/>
        <v>56163.096402000003</v>
      </c>
      <c r="J23" s="120"/>
      <c r="K23" s="118">
        <v>9695</v>
      </c>
      <c r="M23" s="122">
        <f t="shared" si="2"/>
        <v>146246.12640199999</v>
      </c>
      <c r="O23" s="118">
        <v>7188</v>
      </c>
      <c r="P23" s="119">
        <f t="shared" si="0"/>
        <v>9695.2817651202004</v>
      </c>
      <c r="Q23" s="119">
        <v>9695</v>
      </c>
    </row>
    <row r="24" spans="1:17" x14ac:dyDescent="0.2">
      <c r="A24" s="140" t="s">
        <v>98</v>
      </c>
      <c r="B24" s="127">
        <v>15</v>
      </c>
      <c r="C24" s="144" t="s">
        <v>97</v>
      </c>
      <c r="D24" s="117">
        <v>1594</v>
      </c>
      <c r="E24" s="118">
        <v>11381.26</v>
      </c>
      <c r="F24" s="118">
        <v>43954.98</v>
      </c>
      <c r="H24" s="118">
        <v>13656</v>
      </c>
      <c r="I24" s="118">
        <f t="shared" si="1"/>
        <v>38714.240404000004</v>
      </c>
      <c r="J24" s="120"/>
      <c r="K24" s="118">
        <v>7322</v>
      </c>
      <c r="M24" s="122">
        <f t="shared" si="2"/>
        <v>102053.22040400001</v>
      </c>
      <c r="O24" s="118">
        <v>5594</v>
      </c>
      <c r="P24" s="119">
        <f t="shared" si="0"/>
        <v>7322.3147590004</v>
      </c>
      <c r="Q24" s="119">
        <v>7322</v>
      </c>
    </row>
    <row r="25" spans="1:17" x14ac:dyDescent="0.2">
      <c r="A25" s="140" t="s">
        <v>98</v>
      </c>
      <c r="B25" s="142">
        <v>24</v>
      </c>
      <c r="C25" s="144" t="s">
        <v>97</v>
      </c>
      <c r="D25" s="117">
        <v>2903</v>
      </c>
      <c r="E25" s="118">
        <v>15409.55</v>
      </c>
      <c r="F25" s="118">
        <v>59512.45</v>
      </c>
      <c r="H25" s="118">
        <v>17073</v>
      </c>
      <c r="I25" s="118">
        <f t="shared" si="1"/>
        <v>51465.389569999999</v>
      </c>
      <c r="J25" s="120"/>
      <c r="K25" s="118">
        <v>9201</v>
      </c>
      <c r="M25" s="122">
        <f t="shared" si="2"/>
        <v>134348.83957000001</v>
      </c>
      <c r="O25" s="118">
        <v>6903</v>
      </c>
      <c r="P25" s="119">
        <f t="shared" si="0"/>
        <v>9200.5626507569996</v>
      </c>
      <c r="Q25" s="119">
        <v>9201</v>
      </c>
    </row>
    <row r="26" spans="1:17" x14ac:dyDescent="0.2">
      <c r="A26" s="140" t="s">
        <v>98</v>
      </c>
      <c r="B26" s="142">
        <v>28</v>
      </c>
      <c r="C26" s="144" t="s">
        <v>97</v>
      </c>
      <c r="D26" s="117">
        <v>3093</v>
      </c>
      <c r="E26" s="118">
        <v>16398.86</v>
      </c>
      <c r="F26" s="118">
        <v>63333.2</v>
      </c>
      <c r="H26" s="118">
        <v>17912</v>
      </c>
      <c r="I26" s="118">
        <f t="shared" si="1"/>
        <v>54596.951443999998</v>
      </c>
      <c r="J26" s="120"/>
      <c r="K26" s="118">
        <v>9530</v>
      </c>
      <c r="M26" s="122">
        <f t="shared" si="2"/>
        <v>142279.15144399999</v>
      </c>
      <c r="O26" s="118">
        <v>7093</v>
      </c>
      <c r="P26" s="119">
        <f t="shared" si="0"/>
        <v>9530.3645597043997</v>
      </c>
      <c r="Q26" s="119">
        <v>9530</v>
      </c>
    </row>
    <row r="27" spans="1:17" x14ac:dyDescent="0.2">
      <c r="A27" s="140" t="s">
        <v>98</v>
      </c>
      <c r="B27" s="142">
        <v>35</v>
      </c>
      <c r="C27" s="144" t="s">
        <v>97</v>
      </c>
      <c r="D27" s="117">
        <v>3426</v>
      </c>
      <c r="E27" s="118">
        <v>18130.560000000001</v>
      </c>
      <c r="F27" s="118">
        <v>70021.11</v>
      </c>
      <c r="H27" s="118">
        <v>19381</v>
      </c>
      <c r="I27" s="118">
        <f t="shared" si="1"/>
        <v>60078.474624000002</v>
      </c>
      <c r="J27" s="120"/>
      <c r="K27" s="118">
        <v>10108</v>
      </c>
      <c r="M27" s="122">
        <f t="shared" si="2"/>
        <v>156162.58462400001</v>
      </c>
      <c r="O27" s="118">
        <v>7426</v>
      </c>
      <c r="P27" s="119">
        <f t="shared" si="0"/>
        <v>10108.0754852224</v>
      </c>
      <c r="Q27" s="119">
        <v>10108</v>
      </c>
    </row>
    <row r="28" spans="1:17" x14ac:dyDescent="0.2">
      <c r="A28" s="140" t="s">
        <v>98</v>
      </c>
      <c r="B28" s="142">
        <v>36</v>
      </c>
      <c r="C28" s="144" t="s">
        <v>97</v>
      </c>
      <c r="D28" s="117">
        <v>3516</v>
      </c>
      <c r="E28" s="118">
        <v>18628.73</v>
      </c>
      <c r="F28" s="118">
        <v>71945.070000000007</v>
      </c>
      <c r="H28" s="118">
        <v>19804</v>
      </c>
      <c r="I28" s="118">
        <f t="shared" si="1"/>
        <v>61655.381942</v>
      </c>
      <c r="J28" s="120"/>
      <c r="K28" s="118">
        <v>10268</v>
      </c>
      <c r="M28" s="122">
        <f t="shared" si="2"/>
        <v>160156.45194200001</v>
      </c>
      <c r="O28" s="118">
        <v>7516</v>
      </c>
      <c r="P28" s="119">
        <f t="shared" si="0"/>
        <v>10268.473153274201</v>
      </c>
      <c r="Q28" s="119">
        <v>10268</v>
      </c>
    </row>
    <row r="29" spans="1:17" x14ac:dyDescent="0.2">
      <c r="A29" s="140" t="s">
        <v>98</v>
      </c>
      <c r="B29" s="142">
        <v>40</v>
      </c>
      <c r="C29" s="144" t="s">
        <v>97</v>
      </c>
      <c r="D29" s="117">
        <v>3898</v>
      </c>
      <c r="E29" s="118">
        <v>20653.27</v>
      </c>
      <c r="F29" s="118">
        <v>79763.94</v>
      </c>
      <c r="H29" s="118">
        <v>21522</v>
      </c>
      <c r="I29" s="118">
        <f t="shared" si="1"/>
        <v>68063.860858</v>
      </c>
      <c r="J29" s="120"/>
      <c r="K29" s="118">
        <v>10937</v>
      </c>
      <c r="M29" s="122">
        <f t="shared" si="2"/>
        <v>176388.800858</v>
      </c>
      <c r="O29" s="118">
        <v>7898</v>
      </c>
      <c r="P29" s="119">
        <f t="shared" si="0"/>
        <v>10936.5660430058</v>
      </c>
      <c r="Q29" s="119">
        <v>10937</v>
      </c>
    </row>
    <row r="30" spans="1:17" x14ac:dyDescent="0.2">
      <c r="A30" s="140" t="s">
        <v>98</v>
      </c>
      <c r="B30" s="142">
        <v>44</v>
      </c>
      <c r="C30" s="144" t="s">
        <v>97</v>
      </c>
      <c r="D30" s="117">
        <v>4116</v>
      </c>
      <c r="E30" s="118">
        <v>21809.759999999998</v>
      </c>
      <c r="F30" s="118">
        <v>84230.38</v>
      </c>
      <c r="H30" s="118">
        <v>22503</v>
      </c>
      <c r="I30" s="118">
        <f t="shared" si="1"/>
        <v>71724.614303999988</v>
      </c>
      <c r="J30" s="120"/>
      <c r="K30" s="118">
        <v>11318</v>
      </c>
      <c r="M30" s="122">
        <f t="shared" si="2"/>
        <v>185659.99430399999</v>
      </c>
      <c r="O30" s="118">
        <v>8116</v>
      </c>
      <c r="P30" s="119">
        <f t="shared" si="0"/>
        <v>11317.9925823904</v>
      </c>
      <c r="Q30" s="119">
        <v>11318</v>
      </c>
    </row>
    <row r="31" spans="1:17" ht="15" x14ac:dyDescent="0.25">
      <c r="A31" s="145"/>
      <c r="B31" s="146"/>
      <c r="C31" s="136"/>
      <c r="D31" s="117"/>
      <c r="E31" s="118"/>
      <c r="F31" s="118"/>
      <c r="H31" s="118"/>
      <c r="I31" s="118"/>
      <c r="J31" s="120"/>
      <c r="K31" s="118"/>
      <c r="M31" s="122"/>
      <c r="O31" s="118"/>
      <c r="P31" s="119">
        <f t="shared" si="0"/>
        <v>120</v>
      </c>
      <c r="Q31" s="119">
        <v>120</v>
      </c>
    </row>
    <row r="32" spans="1:17" x14ac:dyDescent="0.2">
      <c r="A32" s="137" t="s">
        <v>96</v>
      </c>
      <c r="B32" s="138">
        <v>30</v>
      </c>
      <c r="C32" s="143" t="s">
        <v>94</v>
      </c>
      <c r="D32" s="117">
        <v>3406</v>
      </c>
      <c r="E32" s="118">
        <v>18045.57</v>
      </c>
      <c r="F32" s="118">
        <v>69692.87</v>
      </c>
      <c r="H32" s="118">
        <v>19309</v>
      </c>
      <c r="I32" s="118">
        <f t="shared" si="1"/>
        <v>59809.447278</v>
      </c>
      <c r="J32" s="120"/>
      <c r="K32" s="118">
        <v>10076</v>
      </c>
      <c r="M32" s="122">
        <f t="shared" si="2"/>
        <v>155481.317278</v>
      </c>
      <c r="O32" s="118">
        <v>7406</v>
      </c>
      <c r="P32" s="119">
        <f t="shared" si="0"/>
        <v>10076.065332447801</v>
      </c>
      <c r="Q32" s="119">
        <v>10076</v>
      </c>
    </row>
    <row r="33" spans="1:17" x14ac:dyDescent="0.2">
      <c r="A33" s="140" t="s">
        <v>95</v>
      </c>
      <c r="B33" s="127">
        <v>15</v>
      </c>
      <c r="C33" s="144" t="s">
        <v>94</v>
      </c>
      <c r="D33" s="117">
        <v>1703</v>
      </c>
      <c r="E33" s="118">
        <v>12001.31</v>
      </c>
      <c r="F33" s="118">
        <v>46349.64</v>
      </c>
      <c r="H33" s="118">
        <v>14182</v>
      </c>
      <c r="I33" s="118">
        <f t="shared" si="1"/>
        <v>40676.946673999999</v>
      </c>
      <c r="J33" s="120"/>
      <c r="K33" s="118">
        <v>7519</v>
      </c>
      <c r="M33" s="122">
        <f t="shared" si="2"/>
        <v>107024.58667399999</v>
      </c>
      <c r="O33" s="118">
        <v>5703</v>
      </c>
      <c r="P33" s="119">
        <f t="shared" si="0"/>
        <v>7518.9355994273992</v>
      </c>
      <c r="Q33" s="119">
        <v>7519</v>
      </c>
    </row>
    <row r="34" spans="1:17" x14ac:dyDescent="0.2">
      <c r="A34" s="140" t="s">
        <v>95</v>
      </c>
      <c r="B34" s="142">
        <v>24</v>
      </c>
      <c r="C34" s="144" t="s">
        <v>94</v>
      </c>
      <c r="D34" s="117">
        <v>3087</v>
      </c>
      <c r="E34" s="118">
        <v>16385.009999999998</v>
      </c>
      <c r="F34" s="118">
        <v>63279.72</v>
      </c>
      <c r="H34" s="118">
        <v>17901</v>
      </c>
      <c r="I34" s="118">
        <f t="shared" si="1"/>
        <v>54553.110653999996</v>
      </c>
      <c r="J34" s="120"/>
      <c r="K34" s="118">
        <v>9522</v>
      </c>
      <c r="M34" s="122">
        <f t="shared" si="2"/>
        <v>142168.83065399999</v>
      </c>
      <c r="O34" s="118">
        <v>7087</v>
      </c>
      <c r="P34" s="119">
        <f t="shared" si="0"/>
        <v>9522.4073810253994</v>
      </c>
      <c r="Q34" s="119">
        <v>9522</v>
      </c>
    </row>
    <row r="35" spans="1:17" x14ac:dyDescent="0.2">
      <c r="A35" s="140" t="s">
        <v>95</v>
      </c>
      <c r="B35" s="142">
        <v>28</v>
      </c>
      <c r="C35" s="144" t="s">
        <v>94</v>
      </c>
      <c r="D35" s="117">
        <v>3300</v>
      </c>
      <c r="E35" s="118">
        <v>17492.37</v>
      </c>
      <c r="F35" s="118">
        <v>67556.38</v>
      </c>
      <c r="H35" s="118">
        <v>18840</v>
      </c>
      <c r="I35" s="118">
        <f t="shared" si="1"/>
        <v>58058.347997999997</v>
      </c>
      <c r="J35" s="120"/>
      <c r="K35" s="118">
        <v>9892</v>
      </c>
      <c r="M35" s="122">
        <f t="shared" si="2"/>
        <v>151046.72799799999</v>
      </c>
      <c r="O35" s="118">
        <v>7300</v>
      </c>
      <c r="P35" s="119">
        <f t="shared" si="0"/>
        <v>9891.8912353197993</v>
      </c>
      <c r="Q35" s="119">
        <v>9892</v>
      </c>
    </row>
    <row r="36" spans="1:17" x14ac:dyDescent="0.2">
      <c r="A36" s="140" t="s">
        <v>95</v>
      </c>
      <c r="B36" s="142">
        <v>35</v>
      </c>
      <c r="C36" s="144" t="s">
        <v>94</v>
      </c>
      <c r="D36" s="117">
        <v>3672</v>
      </c>
      <c r="E36" s="118">
        <v>19429.689999999999</v>
      </c>
      <c r="F36" s="118">
        <v>75038.42</v>
      </c>
      <c r="H36" s="118">
        <v>20484</v>
      </c>
      <c r="I36" s="118">
        <f t="shared" si="1"/>
        <v>64190.740725999996</v>
      </c>
      <c r="J36" s="120"/>
      <c r="K36" s="118">
        <v>10538</v>
      </c>
      <c r="M36" s="122">
        <f t="shared" si="2"/>
        <v>166579.160726</v>
      </c>
      <c r="O36" s="118">
        <v>7672</v>
      </c>
      <c r="P36" s="119">
        <f t="shared" si="0"/>
        <v>10537.658845312599</v>
      </c>
      <c r="Q36" s="119">
        <v>10538</v>
      </c>
    </row>
    <row r="37" spans="1:17" x14ac:dyDescent="0.2">
      <c r="A37" s="140" t="s">
        <v>95</v>
      </c>
      <c r="B37" s="142">
        <v>36</v>
      </c>
      <c r="C37" s="144" t="s">
        <v>94</v>
      </c>
      <c r="D37" s="117">
        <v>3782</v>
      </c>
      <c r="E37" s="118">
        <v>20041.45</v>
      </c>
      <c r="F37" s="118">
        <v>77401.08</v>
      </c>
      <c r="H37" s="118">
        <v>21003</v>
      </c>
      <c r="I37" s="118">
        <f t="shared" si="1"/>
        <v>66127.205829999992</v>
      </c>
      <c r="J37" s="120"/>
      <c r="K37" s="118">
        <v>10734</v>
      </c>
      <c r="M37" s="122">
        <f t="shared" si="2"/>
        <v>171483.28583000001</v>
      </c>
      <c r="O37" s="118">
        <v>7782</v>
      </c>
      <c r="P37" s="119">
        <f t="shared" ref="P37:P68" si="3">(+O37+(E37*0.14131254)+120)</f>
        <v>10734.108204783</v>
      </c>
      <c r="Q37" s="119">
        <v>10734</v>
      </c>
    </row>
    <row r="38" spans="1:17" x14ac:dyDescent="0.2">
      <c r="A38" s="140" t="s">
        <v>95</v>
      </c>
      <c r="B38" s="142">
        <v>40</v>
      </c>
      <c r="C38" s="144" t="s">
        <v>94</v>
      </c>
      <c r="D38" s="117">
        <v>4205</v>
      </c>
      <c r="E38" s="118">
        <v>22283.4</v>
      </c>
      <c r="F38" s="118">
        <v>86059.58</v>
      </c>
      <c r="H38" s="118">
        <v>22905</v>
      </c>
      <c r="I38" s="118">
        <f t="shared" si="1"/>
        <v>73223.874360000002</v>
      </c>
      <c r="J38" s="120"/>
      <c r="K38" s="118">
        <v>11474</v>
      </c>
      <c r="M38" s="122">
        <f t="shared" si="2"/>
        <v>189457.45436</v>
      </c>
      <c r="O38" s="118">
        <v>8205</v>
      </c>
      <c r="P38" s="119">
        <f t="shared" si="3"/>
        <v>11473.923853836</v>
      </c>
      <c r="Q38" s="119">
        <v>11474</v>
      </c>
    </row>
    <row r="39" spans="1:17" x14ac:dyDescent="0.2">
      <c r="A39" s="140" t="s">
        <v>95</v>
      </c>
      <c r="B39" s="142">
        <v>44</v>
      </c>
      <c r="C39" s="144" t="s">
        <v>94</v>
      </c>
      <c r="D39" s="117">
        <v>4454</v>
      </c>
      <c r="E39" s="118">
        <v>23600.53</v>
      </c>
      <c r="F39" s="118">
        <v>91146.41</v>
      </c>
      <c r="H39" s="118">
        <v>24022</v>
      </c>
      <c r="I39" s="118">
        <f t="shared" si="1"/>
        <v>77393.11766199999</v>
      </c>
      <c r="J39" s="120"/>
      <c r="K39" s="118">
        <v>11909</v>
      </c>
      <c r="M39" s="122">
        <f t="shared" si="2"/>
        <v>200016.52766199998</v>
      </c>
      <c r="O39" s="118">
        <v>8454</v>
      </c>
      <c r="P39" s="119">
        <f t="shared" si="3"/>
        <v>11909.050839646199</v>
      </c>
      <c r="Q39" s="119">
        <v>11909</v>
      </c>
    </row>
    <row r="40" spans="1:17" ht="15" x14ac:dyDescent="0.25">
      <c r="A40" s="140"/>
      <c r="B40" s="142"/>
      <c r="C40" s="136"/>
      <c r="D40" s="117"/>
      <c r="E40" s="118"/>
      <c r="F40" s="118"/>
      <c r="H40" s="118"/>
      <c r="I40" s="118"/>
      <c r="J40" s="120"/>
      <c r="K40" s="118"/>
      <c r="M40" s="122"/>
      <c r="O40" s="118"/>
      <c r="P40" s="119">
        <f t="shared" si="3"/>
        <v>120</v>
      </c>
      <c r="Q40" s="119">
        <v>120</v>
      </c>
    </row>
    <row r="41" spans="1:17" x14ac:dyDescent="0.2">
      <c r="A41" s="137" t="s">
        <v>93</v>
      </c>
      <c r="B41" s="138">
        <v>30</v>
      </c>
      <c r="C41" s="143" t="s">
        <v>91</v>
      </c>
      <c r="D41" s="117">
        <v>3767</v>
      </c>
      <c r="E41" s="118">
        <v>19962.46</v>
      </c>
      <c r="F41" s="118">
        <v>77096</v>
      </c>
      <c r="H41" s="118">
        <v>20936</v>
      </c>
      <c r="I41" s="118">
        <f t="shared" si="1"/>
        <v>65877.170883999992</v>
      </c>
      <c r="J41" s="120"/>
      <c r="K41" s="118">
        <v>10708</v>
      </c>
      <c r="M41" s="122">
        <f t="shared" si="2"/>
        <v>170850.17088399999</v>
      </c>
      <c r="O41" s="118">
        <v>7767</v>
      </c>
      <c r="P41" s="119">
        <f t="shared" si="3"/>
        <v>10707.9459272484</v>
      </c>
      <c r="Q41" s="119">
        <v>10708</v>
      </c>
    </row>
    <row r="42" spans="1:17" x14ac:dyDescent="0.2">
      <c r="A42" s="140" t="s">
        <v>92</v>
      </c>
      <c r="B42" s="127">
        <v>15</v>
      </c>
      <c r="C42" s="144" t="s">
        <v>91</v>
      </c>
      <c r="D42" s="117">
        <v>1883</v>
      </c>
      <c r="E42" s="118">
        <v>13018.98</v>
      </c>
      <c r="F42" s="118">
        <v>50279.93</v>
      </c>
      <c r="H42" s="118">
        <v>15045</v>
      </c>
      <c r="I42" s="118">
        <f t="shared" si="1"/>
        <v>43898.279291999999</v>
      </c>
      <c r="J42" s="120"/>
      <c r="K42" s="118">
        <v>7843</v>
      </c>
      <c r="M42" s="122">
        <f t="shared" si="2"/>
        <v>115183.209292</v>
      </c>
      <c r="O42" s="118">
        <v>5883</v>
      </c>
      <c r="P42" s="119">
        <f t="shared" si="3"/>
        <v>7842.7451320091996</v>
      </c>
      <c r="Q42" s="119">
        <v>7843</v>
      </c>
    </row>
    <row r="43" spans="1:17" x14ac:dyDescent="0.2">
      <c r="A43" s="140" t="s">
        <v>92</v>
      </c>
      <c r="B43" s="142">
        <v>24</v>
      </c>
      <c r="C43" s="144" t="s">
        <v>91</v>
      </c>
      <c r="D43" s="117">
        <v>3392</v>
      </c>
      <c r="E43" s="118">
        <v>18013</v>
      </c>
      <c r="F43" s="118">
        <v>69567.09</v>
      </c>
      <c r="H43" s="118">
        <v>19282</v>
      </c>
      <c r="I43" s="118">
        <f t="shared" si="1"/>
        <v>59706.350200000001</v>
      </c>
      <c r="J43" s="120"/>
      <c r="K43" s="118">
        <v>10057</v>
      </c>
      <c r="M43" s="122">
        <f t="shared" si="2"/>
        <v>155220.44020000001</v>
      </c>
      <c r="O43" s="118">
        <v>7392</v>
      </c>
      <c r="P43" s="119">
        <f t="shared" si="3"/>
        <v>10057.462783020001</v>
      </c>
      <c r="Q43" s="119">
        <v>10057</v>
      </c>
    </row>
    <row r="44" spans="1:17" x14ac:dyDescent="0.2">
      <c r="A44" s="140" t="s">
        <v>92</v>
      </c>
      <c r="B44" s="142">
        <v>28</v>
      </c>
      <c r="C44" s="144" t="s">
        <v>91</v>
      </c>
      <c r="D44" s="117">
        <v>3642</v>
      </c>
      <c r="E44" s="118">
        <v>19312.919999999998</v>
      </c>
      <c r="F44" s="118">
        <v>74587.45</v>
      </c>
      <c r="H44" s="118">
        <v>20384</v>
      </c>
      <c r="I44" s="118">
        <f t="shared" si="1"/>
        <v>63821.116967999995</v>
      </c>
      <c r="J44" s="120"/>
      <c r="K44" s="118">
        <v>10491</v>
      </c>
      <c r="M44" s="122">
        <f t="shared" si="2"/>
        <v>165641.566968</v>
      </c>
      <c r="O44" s="118">
        <v>7642</v>
      </c>
      <c r="P44" s="119">
        <f t="shared" si="3"/>
        <v>10491.1577800168</v>
      </c>
      <c r="Q44" s="119">
        <v>10491</v>
      </c>
    </row>
    <row r="45" spans="1:17" x14ac:dyDescent="0.2">
      <c r="A45" s="140" t="s">
        <v>92</v>
      </c>
      <c r="B45" s="142">
        <v>35</v>
      </c>
      <c r="C45" s="144" t="s">
        <v>91</v>
      </c>
      <c r="D45" s="117">
        <v>4079</v>
      </c>
      <c r="E45" s="118">
        <v>21586.2</v>
      </c>
      <c r="F45" s="118">
        <v>83366.97</v>
      </c>
      <c r="H45" s="118">
        <v>22313</v>
      </c>
      <c r="I45" s="118">
        <f t="shared" si="1"/>
        <v>71016.957479999997</v>
      </c>
      <c r="J45" s="120"/>
      <c r="K45" s="118">
        <v>11249</v>
      </c>
      <c r="M45" s="122">
        <f t="shared" si="2"/>
        <v>183866.92748000001</v>
      </c>
      <c r="O45" s="118">
        <v>8079</v>
      </c>
      <c r="P45" s="119">
        <f t="shared" si="3"/>
        <v>11249.400750948</v>
      </c>
      <c r="Q45" s="119">
        <v>11249</v>
      </c>
    </row>
    <row r="46" spans="1:17" x14ac:dyDescent="0.2">
      <c r="A46" s="140" t="s">
        <v>92</v>
      </c>
      <c r="B46" s="142">
        <v>36</v>
      </c>
      <c r="C46" s="144" t="s">
        <v>91</v>
      </c>
      <c r="D46" s="117">
        <v>4198</v>
      </c>
      <c r="E46" s="118">
        <v>22245.84</v>
      </c>
      <c r="F46" s="118">
        <v>85914.52</v>
      </c>
      <c r="H46" s="118">
        <v>22873</v>
      </c>
      <c r="I46" s="118">
        <f t="shared" si="1"/>
        <v>73104.981935999996</v>
      </c>
      <c r="J46" s="120"/>
      <c r="K46" s="118">
        <v>11462</v>
      </c>
      <c r="M46" s="122">
        <f t="shared" si="2"/>
        <v>189156.50193600002</v>
      </c>
      <c r="O46" s="118">
        <v>8198</v>
      </c>
      <c r="P46" s="119">
        <f t="shared" si="3"/>
        <v>11461.6161548336</v>
      </c>
      <c r="Q46" s="119">
        <v>11462</v>
      </c>
    </row>
    <row r="47" spans="1:17" x14ac:dyDescent="0.2">
      <c r="A47" s="140" t="s">
        <v>92</v>
      </c>
      <c r="B47" s="142">
        <v>40</v>
      </c>
      <c r="C47" s="144" t="s">
        <v>91</v>
      </c>
      <c r="D47" s="117">
        <v>4692</v>
      </c>
      <c r="E47" s="118">
        <v>24866.34</v>
      </c>
      <c r="F47" s="118">
        <v>96035.03</v>
      </c>
      <c r="H47" s="118">
        <v>25096</v>
      </c>
      <c r="I47" s="118">
        <f t="shared" si="1"/>
        <v>81399.912635999994</v>
      </c>
      <c r="J47" s="120"/>
      <c r="K47" s="118">
        <v>12326</v>
      </c>
      <c r="M47" s="122">
        <f t="shared" si="2"/>
        <v>210164.94263599999</v>
      </c>
      <c r="O47" s="118">
        <v>8692</v>
      </c>
      <c r="P47" s="119">
        <f t="shared" si="3"/>
        <v>12325.9256659036</v>
      </c>
      <c r="Q47" s="119">
        <v>12326</v>
      </c>
    </row>
    <row r="48" spans="1:17" x14ac:dyDescent="0.2">
      <c r="A48" s="140" t="s">
        <v>92</v>
      </c>
      <c r="B48" s="142">
        <v>44</v>
      </c>
      <c r="C48" s="144" t="s">
        <v>91</v>
      </c>
      <c r="D48" s="117">
        <v>4984</v>
      </c>
      <c r="E48" s="118">
        <v>26416.47</v>
      </c>
      <c r="F48" s="118">
        <v>102021.71</v>
      </c>
      <c r="H48" s="118">
        <v>26411</v>
      </c>
      <c r="I48" s="118">
        <f t="shared" si="1"/>
        <v>86306.694138000006</v>
      </c>
      <c r="J48" s="120"/>
      <c r="K48" s="118">
        <v>12837</v>
      </c>
      <c r="M48" s="122">
        <f t="shared" si="2"/>
        <v>222592.40413800001</v>
      </c>
      <c r="O48" s="118">
        <v>8984</v>
      </c>
      <c r="P48" s="119">
        <f t="shared" si="3"/>
        <v>12836.9784735338</v>
      </c>
      <c r="Q48" s="119">
        <v>12837</v>
      </c>
    </row>
    <row r="49" spans="1:17" ht="15" x14ac:dyDescent="0.25">
      <c r="A49" s="140"/>
      <c r="B49" s="142"/>
      <c r="C49" s="136"/>
      <c r="D49" s="117"/>
      <c r="E49" s="118"/>
      <c r="F49" s="118"/>
      <c r="H49" s="118"/>
      <c r="I49" s="118"/>
      <c r="J49" s="120"/>
      <c r="K49" s="118"/>
      <c r="M49" s="122"/>
      <c r="O49" s="118"/>
      <c r="P49" s="119">
        <f t="shared" si="3"/>
        <v>120</v>
      </c>
      <c r="Q49" s="119">
        <v>120</v>
      </c>
    </row>
    <row r="50" spans="1:17" x14ac:dyDescent="0.2">
      <c r="A50" s="137" t="s">
        <v>90</v>
      </c>
      <c r="B50" s="138">
        <v>30</v>
      </c>
      <c r="C50" s="143" t="s">
        <v>88</v>
      </c>
      <c r="D50" s="117">
        <v>4318</v>
      </c>
      <c r="E50" s="118">
        <v>22880.46</v>
      </c>
      <c r="F50" s="118">
        <v>88365.46</v>
      </c>
      <c r="H50" s="118">
        <v>23411</v>
      </c>
      <c r="I50" s="118">
        <f t="shared" si="1"/>
        <v>75113.808084000004</v>
      </c>
      <c r="J50" s="120"/>
      <c r="K50" s="118">
        <v>11671</v>
      </c>
      <c r="M50" s="122">
        <f t="shared" si="2"/>
        <v>194243.26808400001</v>
      </c>
      <c r="O50" s="118">
        <v>8318</v>
      </c>
      <c r="P50" s="119">
        <f t="shared" si="3"/>
        <v>11671.295918968401</v>
      </c>
      <c r="Q50" s="119">
        <v>11671</v>
      </c>
    </row>
    <row r="51" spans="1:17" x14ac:dyDescent="0.2">
      <c r="A51" s="140" t="s">
        <v>89</v>
      </c>
      <c r="B51" s="127">
        <v>15</v>
      </c>
      <c r="C51" s="144" t="s">
        <v>88</v>
      </c>
      <c r="D51" s="117">
        <v>2159</v>
      </c>
      <c r="E51" s="118">
        <v>14920.22</v>
      </c>
      <c r="F51" s="118">
        <v>57622.63</v>
      </c>
      <c r="H51" s="118">
        <v>16658</v>
      </c>
      <c r="I51" s="118">
        <f t="shared" si="1"/>
        <v>49916.464388</v>
      </c>
      <c r="J51" s="120"/>
      <c r="K51" s="118">
        <v>8387</v>
      </c>
      <c r="M51" s="122">
        <f t="shared" si="2"/>
        <v>130425.094388</v>
      </c>
      <c r="O51" s="118">
        <v>6159</v>
      </c>
      <c r="P51" s="119">
        <f t="shared" si="3"/>
        <v>8387.4141855587986</v>
      </c>
      <c r="Q51" s="119">
        <v>8387</v>
      </c>
    </row>
    <row r="52" spans="1:17" x14ac:dyDescent="0.2">
      <c r="A52" s="140" t="s">
        <v>89</v>
      </c>
      <c r="B52" s="142">
        <v>24</v>
      </c>
      <c r="C52" s="144" t="s">
        <v>88</v>
      </c>
      <c r="D52" s="117">
        <v>3887</v>
      </c>
      <c r="E52" s="118">
        <v>20638.759999999998</v>
      </c>
      <c r="F52" s="118">
        <v>79707.92</v>
      </c>
      <c r="H52" s="118">
        <v>21509</v>
      </c>
      <c r="I52" s="118">
        <f t="shared" si="1"/>
        <v>68017.930903999993</v>
      </c>
      <c r="J52" s="120"/>
      <c r="K52" s="118">
        <v>10924</v>
      </c>
      <c r="M52" s="122">
        <f t="shared" si="2"/>
        <v>176271.85090399999</v>
      </c>
      <c r="O52" s="118">
        <v>7887</v>
      </c>
      <c r="P52" s="119">
        <f t="shared" si="3"/>
        <v>10923.515598050399</v>
      </c>
      <c r="Q52" s="119">
        <v>10924</v>
      </c>
    </row>
    <row r="53" spans="1:17" x14ac:dyDescent="0.2">
      <c r="A53" s="140" t="s">
        <v>89</v>
      </c>
      <c r="B53" s="142">
        <v>28</v>
      </c>
      <c r="C53" s="144" t="s">
        <v>88</v>
      </c>
      <c r="D53" s="117">
        <v>4174</v>
      </c>
      <c r="E53" s="118">
        <v>22132.87</v>
      </c>
      <c r="F53" s="118">
        <v>85478.24</v>
      </c>
      <c r="H53" s="118">
        <v>22777</v>
      </c>
      <c r="I53" s="118">
        <f t="shared" si="1"/>
        <v>72747.386698000002</v>
      </c>
      <c r="J53" s="120"/>
      <c r="K53" s="118">
        <v>11422</v>
      </c>
      <c r="M53" s="122">
        <f t="shared" si="2"/>
        <v>188250.62669800001</v>
      </c>
      <c r="O53" s="118">
        <v>8174</v>
      </c>
      <c r="P53" s="119">
        <f t="shared" si="3"/>
        <v>11421.652077189799</v>
      </c>
      <c r="Q53" s="119">
        <v>11422</v>
      </c>
    </row>
    <row r="54" spans="1:17" x14ac:dyDescent="0.2">
      <c r="A54" s="140" t="s">
        <v>89</v>
      </c>
      <c r="B54" s="142">
        <v>35</v>
      </c>
      <c r="C54" s="144" t="s">
        <v>88</v>
      </c>
      <c r="D54" s="117">
        <v>4677</v>
      </c>
      <c r="E54" s="118">
        <v>24748.31</v>
      </c>
      <c r="F54" s="118">
        <v>95579.18</v>
      </c>
      <c r="H54" s="118">
        <v>24996</v>
      </c>
      <c r="I54" s="118">
        <f t="shared" si="1"/>
        <v>81026.300474000003</v>
      </c>
      <c r="J54" s="120"/>
      <c r="K54" s="118">
        <v>12294</v>
      </c>
      <c r="M54" s="122">
        <f t="shared" si="2"/>
        <v>209218.48047399998</v>
      </c>
      <c r="O54" s="118">
        <v>8677</v>
      </c>
      <c r="P54" s="119">
        <f t="shared" si="3"/>
        <v>12294.246546807401</v>
      </c>
      <c r="Q54" s="119">
        <v>12294</v>
      </c>
    </row>
    <row r="55" spans="1:17" x14ac:dyDescent="0.2">
      <c r="A55" s="140" t="s">
        <v>89</v>
      </c>
      <c r="B55" s="142">
        <v>36</v>
      </c>
      <c r="C55" s="144" t="s">
        <v>88</v>
      </c>
      <c r="D55" s="117">
        <v>4820</v>
      </c>
      <c r="E55" s="118">
        <v>25540.86</v>
      </c>
      <c r="F55" s="118">
        <v>98640.06</v>
      </c>
      <c r="H55" s="118">
        <v>25668</v>
      </c>
      <c r="I55" s="118">
        <f t="shared" si="1"/>
        <v>83535.038243999996</v>
      </c>
      <c r="J55" s="120"/>
      <c r="K55" s="118">
        <v>12549</v>
      </c>
      <c r="M55" s="122">
        <f t="shared" si="2"/>
        <v>215572.09824399999</v>
      </c>
      <c r="O55" s="118">
        <v>8820</v>
      </c>
      <c r="P55" s="119">
        <f t="shared" si="3"/>
        <v>12549.2438003844</v>
      </c>
      <c r="Q55" s="119">
        <v>12549</v>
      </c>
    </row>
    <row r="56" spans="1:17" x14ac:dyDescent="0.2">
      <c r="A56" s="140" t="s">
        <v>89</v>
      </c>
      <c r="B56" s="142">
        <v>40</v>
      </c>
      <c r="C56" s="144" t="s">
        <v>88</v>
      </c>
      <c r="D56" s="117">
        <v>5448</v>
      </c>
      <c r="E56" s="118">
        <v>28868.14</v>
      </c>
      <c r="F56" s="118">
        <v>111490.18</v>
      </c>
      <c r="H56" s="118">
        <v>28491</v>
      </c>
      <c r="I56" s="118">
        <f t="shared" si="1"/>
        <v>94067.210355999996</v>
      </c>
      <c r="J56" s="120"/>
      <c r="K56" s="118">
        <v>13647</v>
      </c>
      <c r="M56" s="122">
        <f t="shared" si="2"/>
        <v>242247.39035599999</v>
      </c>
      <c r="O56" s="118">
        <v>9448</v>
      </c>
      <c r="P56" s="119">
        <f t="shared" si="3"/>
        <v>13647.430188475599</v>
      </c>
      <c r="Q56" s="119">
        <v>13647</v>
      </c>
    </row>
    <row r="57" spans="1:17" x14ac:dyDescent="0.2">
      <c r="A57" s="140" t="s">
        <v>89</v>
      </c>
      <c r="B57" s="142">
        <v>44</v>
      </c>
      <c r="C57" s="144" t="s">
        <v>88</v>
      </c>
      <c r="D57" s="117">
        <v>5792</v>
      </c>
      <c r="E57" s="118">
        <v>30697.59</v>
      </c>
      <c r="F57" s="118">
        <v>118555.59</v>
      </c>
      <c r="H57" s="118">
        <v>30043</v>
      </c>
      <c r="I57" s="118">
        <f t="shared" si="1"/>
        <v>99858.151385999998</v>
      </c>
      <c r="J57" s="120"/>
      <c r="K57" s="118">
        <v>14250</v>
      </c>
      <c r="M57" s="122">
        <f t="shared" si="2"/>
        <v>256914.74138600001</v>
      </c>
      <c r="O57" s="118">
        <v>9792</v>
      </c>
      <c r="P57" s="119">
        <f t="shared" si="3"/>
        <v>14249.9544147786</v>
      </c>
      <c r="Q57" s="119">
        <v>14250</v>
      </c>
    </row>
    <row r="58" spans="1:17" ht="15" x14ac:dyDescent="0.25">
      <c r="A58" s="140"/>
      <c r="B58" s="142"/>
      <c r="C58" s="136"/>
      <c r="D58" s="117"/>
      <c r="E58" s="118"/>
      <c r="F58" s="118"/>
      <c r="H58" s="118"/>
      <c r="I58" s="118"/>
      <c r="J58" s="120"/>
      <c r="K58" s="118"/>
      <c r="M58" s="122"/>
      <c r="O58" s="118"/>
      <c r="P58" s="119">
        <f t="shared" si="3"/>
        <v>120</v>
      </c>
      <c r="Q58" s="119">
        <v>120</v>
      </c>
    </row>
    <row r="59" spans="1:17" x14ac:dyDescent="0.2">
      <c r="A59" s="137" t="s">
        <v>87</v>
      </c>
      <c r="B59" s="138">
        <v>30</v>
      </c>
      <c r="C59" s="143" t="s">
        <v>85</v>
      </c>
      <c r="D59" s="117">
        <v>4653</v>
      </c>
      <c r="E59" s="118">
        <v>24650.82</v>
      </c>
      <c r="F59" s="118">
        <v>95202.68</v>
      </c>
      <c r="H59" s="118">
        <v>24913</v>
      </c>
      <c r="I59" s="118">
        <f t="shared" si="1"/>
        <v>80717.705627999996</v>
      </c>
      <c r="J59" s="120"/>
      <c r="K59" s="118">
        <v>12257</v>
      </c>
      <c r="M59" s="122">
        <f t="shared" si="2"/>
        <v>208437.38562799999</v>
      </c>
      <c r="O59" s="118">
        <v>8653</v>
      </c>
      <c r="P59" s="119">
        <f t="shared" si="3"/>
        <v>12256.469987282799</v>
      </c>
      <c r="Q59" s="119">
        <v>12257</v>
      </c>
    </row>
    <row r="60" spans="1:17" x14ac:dyDescent="0.2">
      <c r="A60" s="140" t="s">
        <v>86</v>
      </c>
      <c r="B60" s="127">
        <v>15</v>
      </c>
      <c r="C60" s="144" t="s">
        <v>85</v>
      </c>
      <c r="D60" s="117">
        <v>2326</v>
      </c>
      <c r="E60" s="118">
        <v>15919.57</v>
      </c>
      <c r="F60" s="118">
        <v>61482.17</v>
      </c>
      <c r="H60" s="118">
        <v>17506</v>
      </c>
      <c r="I60" s="118">
        <f t="shared" si="1"/>
        <v>53079.806877999996</v>
      </c>
      <c r="J60" s="120"/>
      <c r="K60" s="118">
        <v>8696</v>
      </c>
      <c r="M60" s="122">
        <f t="shared" si="2"/>
        <v>138437.97687799999</v>
      </c>
      <c r="O60" s="118">
        <v>6326</v>
      </c>
      <c r="P60" s="119">
        <f t="shared" si="3"/>
        <v>8695.6348724077998</v>
      </c>
      <c r="Q60" s="119">
        <v>8696</v>
      </c>
    </row>
    <row r="61" spans="1:17" x14ac:dyDescent="0.2">
      <c r="A61" s="140" t="s">
        <v>86</v>
      </c>
      <c r="B61" s="142">
        <v>24</v>
      </c>
      <c r="C61" s="144" t="s">
        <v>85</v>
      </c>
      <c r="D61" s="117">
        <v>4173</v>
      </c>
      <c r="E61" s="118">
        <v>22158.560000000001</v>
      </c>
      <c r="F61" s="118">
        <v>85577.46</v>
      </c>
      <c r="H61" s="118">
        <v>22799</v>
      </c>
      <c r="I61" s="118">
        <f t="shared" si="1"/>
        <v>72828.705824000004</v>
      </c>
      <c r="J61" s="120"/>
      <c r="K61" s="118">
        <v>11424</v>
      </c>
      <c r="M61" s="122">
        <f t="shared" si="2"/>
        <v>188456.16582400003</v>
      </c>
      <c r="O61" s="118">
        <v>8173</v>
      </c>
      <c r="P61" s="119">
        <f t="shared" si="3"/>
        <v>11424.2823963424</v>
      </c>
      <c r="Q61" s="119">
        <v>11424</v>
      </c>
    </row>
    <row r="62" spans="1:17" x14ac:dyDescent="0.2">
      <c r="A62" s="140" t="s">
        <v>86</v>
      </c>
      <c r="B62" s="142">
        <v>28</v>
      </c>
      <c r="C62" s="144" t="s">
        <v>85</v>
      </c>
      <c r="D62" s="117">
        <v>4493</v>
      </c>
      <c r="E62" s="118">
        <v>23820.16</v>
      </c>
      <c r="F62" s="118">
        <v>91994.62</v>
      </c>
      <c r="H62" s="118">
        <v>24208</v>
      </c>
      <c r="I62" s="118">
        <f t="shared" si="1"/>
        <v>78088.334464</v>
      </c>
      <c r="J62" s="120"/>
      <c r="K62" s="118">
        <v>11979</v>
      </c>
      <c r="M62" s="122">
        <f t="shared" si="2"/>
        <v>201776.95446400001</v>
      </c>
      <c r="O62" s="118">
        <v>8493</v>
      </c>
      <c r="P62" s="119">
        <f t="shared" si="3"/>
        <v>11979.087312806399</v>
      </c>
      <c r="Q62" s="119">
        <v>11979</v>
      </c>
    </row>
    <row r="63" spans="1:17" x14ac:dyDescent="0.2">
      <c r="A63" s="140" t="s">
        <v>86</v>
      </c>
      <c r="B63" s="142">
        <v>35</v>
      </c>
      <c r="C63" s="144" t="s">
        <v>85</v>
      </c>
      <c r="D63" s="117">
        <v>5052</v>
      </c>
      <c r="E63" s="118">
        <v>26727.73</v>
      </c>
      <c r="F63" s="118">
        <v>103223.81</v>
      </c>
      <c r="H63" s="118">
        <v>26675</v>
      </c>
      <c r="I63" s="118">
        <f t="shared" si="1"/>
        <v>87291.956542</v>
      </c>
      <c r="J63" s="120"/>
      <c r="K63" s="118">
        <v>12949</v>
      </c>
      <c r="M63" s="122">
        <f t="shared" si="2"/>
        <v>225087.766542</v>
      </c>
      <c r="O63" s="118">
        <v>9052</v>
      </c>
      <c r="P63" s="119">
        <f t="shared" si="3"/>
        <v>12948.9634147342</v>
      </c>
      <c r="Q63" s="119">
        <v>12949</v>
      </c>
    </row>
    <row r="64" spans="1:17" x14ac:dyDescent="0.2">
      <c r="A64" s="140" t="s">
        <v>86</v>
      </c>
      <c r="B64" s="142">
        <v>36</v>
      </c>
      <c r="C64" s="144" t="s">
        <v>85</v>
      </c>
      <c r="D64" s="117">
        <v>5217</v>
      </c>
      <c r="E64" s="118">
        <v>27645.18</v>
      </c>
      <c r="F64" s="118">
        <v>106767.06</v>
      </c>
      <c r="H64" s="118">
        <v>27453</v>
      </c>
      <c r="I64" s="118">
        <f t="shared" si="1"/>
        <v>90196.052771999995</v>
      </c>
      <c r="J64" s="120"/>
      <c r="K64" s="118">
        <v>13244</v>
      </c>
      <c r="M64" s="122">
        <f t="shared" si="2"/>
        <v>232443.11277199999</v>
      </c>
      <c r="O64" s="118">
        <v>9217</v>
      </c>
      <c r="P64" s="119">
        <f t="shared" si="3"/>
        <v>13243.6106045572</v>
      </c>
      <c r="Q64" s="119">
        <v>13244</v>
      </c>
    </row>
    <row r="65" spans="1:17" x14ac:dyDescent="0.2">
      <c r="A65" s="140" t="s">
        <v>86</v>
      </c>
      <c r="B65" s="142">
        <v>40</v>
      </c>
      <c r="C65" s="144" t="s">
        <v>85</v>
      </c>
      <c r="D65" s="117">
        <v>5911</v>
      </c>
      <c r="E65" s="118">
        <v>31328.22</v>
      </c>
      <c r="F65" s="118">
        <v>120991.14</v>
      </c>
      <c r="H65" s="118">
        <v>30578</v>
      </c>
      <c r="I65" s="118">
        <f t="shared" si="1"/>
        <v>101854.347588</v>
      </c>
      <c r="J65" s="120"/>
      <c r="K65" s="118">
        <v>14458</v>
      </c>
      <c r="M65" s="122">
        <f t="shared" si="2"/>
        <v>261970.48758800002</v>
      </c>
      <c r="O65" s="118">
        <v>9911</v>
      </c>
      <c r="P65" s="119">
        <f t="shared" si="3"/>
        <v>14458.0703418788</v>
      </c>
      <c r="Q65" s="119">
        <v>14458</v>
      </c>
    </row>
    <row r="66" spans="1:17" x14ac:dyDescent="0.2">
      <c r="A66" s="140" t="s">
        <v>86</v>
      </c>
      <c r="B66" s="142">
        <v>44</v>
      </c>
      <c r="C66" s="144" t="s">
        <v>85</v>
      </c>
      <c r="D66" s="117">
        <v>6273</v>
      </c>
      <c r="E66" s="118">
        <v>33240.74</v>
      </c>
      <c r="F66" s="118">
        <v>128377.38</v>
      </c>
      <c r="H66" s="118">
        <v>32200</v>
      </c>
      <c r="I66" s="118">
        <f t="shared" si="1"/>
        <v>107908.23839599999</v>
      </c>
      <c r="J66" s="120"/>
      <c r="K66" s="118">
        <v>15090</v>
      </c>
      <c r="M66" s="122">
        <f t="shared" si="2"/>
        <v>277302.61839600001</v>
      </c>
      <c r="O66" s="118">
        <v>10273</v>
      </c>
      <c r="P66" s="119">
        <f t="shared" si="3"/>
        <v>15090.333400879599</v>
      </c>
      <c r="Q66" s="119">
        <v>15090</v>
      </c>
    </row>
    <row r="67" spans="1:17" ht="15" x14ac:dyDescent="0.25">
      <c r="A67" s="140"/>
      <c r="B67" s="142"/>
      <c r="C67" s="136"/>
      <c r="D67" s="117"/>
      <c r="E67" s="118"/>
      <c r="F67" s="118"/>
      <c r="H67" s="118"/>
      <c r="I67" s="118"/>
      <c r="J67" s="120"/>
      <c r="K67" s="118"/>
      <c r="M67" s="122"/>
      <c r="O67" s="118"/>
      <c r="P67" s="119">
        <f t="shared" si="3"/>
        <v>120</v>
      </c>
      <c r="Q67" s="119">
        <v>120</v>
      </c>
    </row>
    <row r="68" spans="1:17" x14ac:dyDescent="0.2">
      <c r="A68" s="137" t="s">
        <v>84</v>
      </c>
      <c r="B68" s="138">
        <v>30</v>
      </c>
      <c r="C68" s="143" t="s">
        <v>82</v>
      </c>
      <c r="D68" s="117">
        <v>4927</v>
      </c>
      <c r="E68" s="118">
        <v>26108.82</v>
      </c>
      <c r="F68" s="118">
        <v>100833.55</v>
      </c>
      <c r="H68" s="118">
        <v>26150</v>
      </c>
      <c r="I68" s="118">
        <f t="shared" si="1"/>
        <v>85332.858827999997</v>
      </c>
      <c r="J68" s="120"/>
      <c r="K68" s="118">
        <v>12737</v>
      </c>
      <c r="M68" s="122">
        <f t="shared" si="2"/>
        <v>220126.40882800001</v>
      </c>
      <c r="O68" s="118">
        <v>8927</v>
      </c>
      <c r="P68" s="119">
        <f t="shared" si="3"/>
        <v>12736.5036706028</v>
      </c>
      <c r="Q68" s="119">
        <v>12737</v>
      </c>
    </row>
    <row r="69" spans="1:17" x14ac:dyDescent="0.2">
      <c r="A69" s="140" t="s">
        <v>83</v>
      </c>
      <c r="B69" s="127">
        <v>15</v>
      </c>
      <c r="C69" s="144" t="s">
        <v>82</v>
      </c>
      <c r="D69" s="117">
        <v>2464</v>
      </c>
      <c r="E69" s="118">
        <v>16735.87</v>
      </c>
      <c r="F69" s="118">
        <v>64634.75</v>
      </c>
      <c r="H69" s="118">
        <v>18198</v>
      </c>
      <c r="I69" s="118">
        <f t="shared" si="1"/>
        <v>55663.722898</v>
      </c>
      <c r="J69" s="120"/>
      <c r="K69" s="118">
        <v>8949</v>
      </c>
      <c r="M69" s="122">
        <f t="shared" si="2"/>
        <v>144981.47289800001</v>
      </c>
      <c r="O69" s="118">
        <v>6464</v>
      </c>
      <c r="P69" s="119">
        <f t="shared" ref="P69:P93" si="4">(+O69+(E69*0.14131254)+120)</f>
        <v>8948.9882988097997</v>
      </c>
      <c r="Q69" s="119">
        <v>8949</v>
      </c>
    </row>
    <row r="70" spans="1:17" x14ac:dyDescent="0.2">
      <c r="A70" s="140" t="s">
        <v>83</v>
      </c>
      <c r="B70" s="142">
        <v>24</v>
      </c>
      <c r="C70" s="144" t="s">
        <v>82</v>
      </c>
      <c r="D70" s="117">
        <v>4409</v>
      </c>
      <c r="E70" s="118">
        <v>23415.8</v>
      </c>
      <c r="F70" s="118">
        <v>90432.98</v>
      </c>
      <c r="H70" s="118">
        <v>23865</v>
      </c>
      <c r="I70" s="118">
        <f t="shared" ref="I70:I93" si="5">(+E70*$I$3)+2688</f>
        <v>76808.373319999999</v>
      </c>
      <c r="J70" s="120"/>
      <c r="K70" s="118">
        <v>11838</v>
      </c>
      <c r="M70" s="122">
        <f t="shared" ref="M70:M92" si="6">+F70-D70+H70+I70+K70</f>
        <v>198535.35331999999</v>
      </c>
      <c r="O70" s="118">
        <v>8409</v>
      </c>
      <c r="P70" s="119">
        <f t="shared" si="4"/>
        <v>11837.946174131999</v>
      </c>
      <c r="Q70" s="119">
        <v>11838</v>
      </c>
    </row>
    <row r="71" spans="1:17" x14ac:dyDescent="0.2">
      <c r="A71" s="140" t="s">
        <v>83</v>
      </c>
      <c r="B71" s="142">
        <v>28</v>
      </c>
      <c r="C71" s="144" t="s">
        <v>82</v>
      </c>
      <c r="D71" s="117">
        <v>4755</v>
      </c>
      <c r="E71" s="118">
        <v>25211.46</v>
      </c>
      <c r="F71" s="118">
        <v>97367.91</v>
      </c>
      <c r="H71" s="118">
        <v>25389</v>
      </c>
      <c r="I71" s="118">
        <f t="shared" si="5"/>
        <v>82492.355484</v>
      </c>
      <c r="J71" s="120"/>
      <c r="K71" s="118">
        <v>12438</v>
      </c>
      <c r="M71" s="122">
        <f t="shared" si="6"/>
        <v>212932.265484</v>
      </c>
      <c r="O71" s="118">
        <v>8755</v>
      </c>
      <c r="P71" s="119">
        <f t="shared" si="4"/>
        <v>12437.695449708399</v>
      </c>
      <c r="Q71" s="119">
        <v>12438</v>
      </c>
    </row>
    <row r="72" spans="1:17" x14ac:dyDescent="0.2">
      <c r="A72" s="140" t="s">
        <v>83</v>
      </c>
      <c r="B72" s="142">
        <v>35</v>
      </c>
      <c r="C72" s="144" t="s">
        <v>82</v>
      </c>
      <c r="D72" s="117">
        <v>5359</v>
      </c>
      <c r="E72" s="118">
        <v>28352.99</v>
      </c>
      <c r="F72" s="118">
        <v>109500.64</v>
      </c>
      <c r="H72" s="118">
        <v>28054</v>
      </c>
      <c r="I72" s="118">
        <f t="shared" si="5"/>
        <v>92436.554545999999</v>
      </c>
      <c r="J72" s="120"/>
      <c r="K72" s="118">
        <v>13486</v>
      </c>
      <c r="M72" s="122">
        <f t="shared" si="6"/>
        <v>238118.19454600001</v>
      </c>
      <c r="O72" s="118">
        <v>9359</v>
      </c>
      <c r="P72" s="119">
        <f t="shared" si="4"/>
        <v>13485.6330334946</v>
      </c>
      <c r="Q72" s="119">
        <v>13486</v>
      </c>
    </row>
    <row r="73" spans="1:17" x14ac:dyDescent="0.2">
      <c r="A73" s="140" t="s">
        <v>83</v>
      </c>
      <c r="B73" s="142">
        <v>36</v>
      </c>
      <c r="C73" s="144" t="s">
        <v>82</v>
      </c>
      <c r="D73" s="117">
        <v>5530</v>
      </c>
      <c r="E73" s="118">
        <v>29304.04</v>
      </c>
      <c r="F73" s="118">
        <v>113173.64</v>
      </c>
      <c r="H73" s="118">
        <v>28861</v>
      </c>
      <c r="I73" s="118">
        <f t="shared" si="5"/>
        <v>95447.008216000002</v>
      </c>
      <c r="J73" s="120"/>
      <c r="K73" s="118">
        <v>13791</v>
      </c>
      <c r="M73" s="122">
        <f t="shared" si="6"/>
        <v>245742.648216</v>
      </c>
      <c r="O73" s="118">
        <v>9530</v>
      </c>
      <c r="P73" s="119">
        <f t="shared" si="4"/>
        <v>13791.0283246616</v>
      </c>
      <c r="Q73" s="119">
        <v>13791</v>
      </c>
    </row>
    <row r="74" spans="1:17" x14ac:dyDescent="0.2">
      <c r="A74" s="140" t="s">
        <v>83</v>
      </c>
      <c r="B74" s="142">
        <v>40</v>
      </c>
      <c r="C74" s="144" t="s">
        <v>82</v>
      </c>
      <c r="D74" s="117">
        <v>6250</v>
      </c>
      <c r="E74" s="118">
        <v>33121.01</v>
      </c>
      <c r="F74" s="118">
        <v>127914.96</v>
      </c>
      <c r="H74" s="118">
        <v>32099</v>
      </c>
      <c r="I74" s="118">
        <f t="shared" si="5"/>
        <v>107529.245054</v>
      </c>
      <c r="J74" s="120"/>
      <c r="K74" s="118">
        <v>15050</v>
      </c>
      <c r="M74" s="122">
        <f t="shared" si="6"/>
        <v>276343.20505400002</v>
      </c>
      <c r="O74" s="118">
        <v>10250</v>
      </c>
      <c r="P74" s="119">
        <f t="shared" si="4"/>
        <v>15050.414050465399</v>
      </c>
      <c r="Q74" s="119">
        <v>15050</v>
      </c>
    </row>
    <row r="75" spans="1:17" x14ac:dyDescent="0.2">
      <c r="A75" s="140" t="s">
        <v>83</v>
      </c>
      <c r="B75" s="142">
        <v>44</v>
      </c>
      <c r="C75" s="144" t="s">
        <v>82</v>
      </c>
      <c r="D75" s="117">
        <v>6652</v>
      </c>
      <c r="E75" s="118">
        <v>35251.089999999997</v>
      </c>
      <c r="F75" s="118">
        <v>136141.44</v>
      </c>
      <c r="H75" s="118">
        <v>33906</v>
      </c>
      <c r="I75" s="118">
        <f t="shared" si="5"/>
        <v>114271.80028599998</v>
      </c>
      <c r="J75" s="120"/>
      <c r="K75" s="118">
        <v>15753</v>
      </c>
      <c r="M75" s="122">
        <f t="shared" si="6"/>
        <v>293420.24028599996</v>
      </c>
      <c r="O75" s="118">
        <v>10652</v>
      </c>
      <c r="P75" s="119">
        <f t="shared" si="4"/>
        <v>15753.421065668599</v>
      </c>
      <c r="Q75" s="119">
        <v>15753</v>
      </c>
    </row>
    <row r="76" spans="1:17" ht="15" x14ac:dyDescent="0.25">
      <c r="A76" s="140"/>
      <c r="B76" s="142"/>
      <c r="C76" s="136"/>
      <c r="D76" s="117"/>
      <c r="E76" s="118"/>
      <c r="F76" s="118"/>
      <c r="H76" s="118"/>
      <c r="I76" s="118"/>
      <c r="J76" s="120"/>
      <c r="K76" s="118"/>
      <c r="M76" s="122"/>
      <c r="O76" s="118"/>
      <c r="P76" s="119">
        <f t="shared" si="4"/>
        <v>120</v>
      </c>
      <c r="Q76" s="119">
        <v>120</v>
      </c>
    </row>
    <row r="77" spans="1:17" x14ac:dyDescent="0.2">
      <c r="A77" s="137" t="s">
        <v>81</v>
      </c>
      <c r="B77" s="138">
        <v>30</v>
      </c>
      <c r="C77" s="143" t="s">
        <v>79</v>
      </c>
      <c r="D77" s="117">
        <v>5286</v>
      </c>
      <c r="E77" s="118">
        <v>28014.02</v>
      </c>
      <c r="F77" s="118">
        <v>108191.52</v>
      </c>
      <c r="H77" s="118">
        <v>27766</v>
      </c>
      <c r="I77" s="118">
        <f t="shared" si="5"/>
        <v>91363.578907999996</v>
      </c>
      <c r="J77" s="120"/>
      <c r="K77" s="118">
        <v>13365</v>
      </c>
      <c r="M77" s="122">
        <f t="shared" si="6"/>
        <v>235400.09890799999</v>
      </c>
      <c r="O77" s="118">
        <v>9286</v>
      </c>
      <c r="P77" s="119">
        <f t="shared" si="4"/>
        <v>13364.732321810799</v>
      </c>
      <c r="Q77" s="119">
        <v>13365</v>
      </c>
    </row>
    <row r="78" spans="1:17" x14ac:dyDescent="0.2">
      <c r="A78" s="147" t="s">
        <v>80</v>
      </c>
      <c r="B78" s="127">
        <v>15</v>
      </c>
      <c r="C78" s="144" t="s">
        <v>79</v>
      </c>
      <c r="D78" s="117">
        <v>2643</v>
      </c>
      <c r="E78" s="118">
        <v>17795.29</v>
      </c>
      <c r="F78" s="118">
        <v>68726.28</v>
      </c>
      <c r="H78" s="118">
        <v>19097</v>
      </c>
      <c r="I78" s="118">
        <f t="shared" si="5"/>
        <v>59017.210966000006</v>
      </c>
      <c r="J78" s="120"/>
      <c r="K78" s="118">
        <v>9278</v>
      </c>
      <c r="M78" s="122">
        <f t="shared" si="6"/>
        <v>153475.49096600001</v>
      </c>
      <c r="O78" s="118">
        <v>6643</v>
      </c>
      <c r="P78" s="119">
        <f t="shared" si="4"/>
        <v>9277.6976299365997</v>
      </c>
      <c r="Q78" s="119">
        <v>9278</v>
      </c>
    </row>
    <row r="79" spans="1:17" x14ac:dyDescent="0.2">
      <c r="A79" s="140" t="s">
        <v>80</v>
      </c>
      <c r="B79" s="142">
        <v>24</v>
      </c>
      <c r="C79" s="144" t="s">
        <v>79</v>
      </c>
      <c r="D79" s="117">
        <v>4717</v>
      </c>
      <c r="E79" s="118">
        <v>25057.05</v>
      </c>
      <c r="F79" s="118">
        <v>96771.57</v>
      </c>
      <c r="H79" s="118">
        <v>25258</v>
      </c>
      <c r="I79" s="118">
        <f t="shared" si="5"/>
        <v>82003.58606999999</v>
      </c>
      <c r="J79" s="120"/>
      <c r="K79" s="118">
        <v>12378</v>
      </c>
      <c r="M79" s="122">
        <f t="shared" si="6"/>
        <v>211694.15607</v>
      </c>
      <c r="O79" s="118">
        <v>8717</v>
      </c>
      <c r="P79" s="119">
        <f t="shared" si="4"/>
        <v>12377.875380407</v>
      </c>
      <c r="Q79" s="119">
        <v>12378</v>
      </c>
    </row>
    <row r="80" spans="1:17" x14ac:dyDescent="0.2">
      <c r="A80" s="140" t="s">
        <v>80</v>
      </c>
      <c r="B80" s="142">
        <v>28</v>
      </c>
      <c r="C80" s="144" t="s">
        <v>79</v>
      </c>
      <c r="D80" s="117">
        <v>5096</v>
      </c>
      <c r="E80" s="118">
        <v>27028.06</v>
      </c>
      <c r="F80" s="118">
        <v>104383.69</v>
      </c>
      <c r="H80" s="118">
        <v>26930</v>
      </c>
      <c r="I80" s="118">
        <f t="shared" si="5"/>
        <v>88242.621123999998</v>
      </c>
      <c r="J80" s="120"/>
      <c r="K80" s="118">
        <v>13035</v>
      </c>
      <c r="M80" s="122">
        <f t="shared" si="6"/>
        <v>227495.311124</v>
      </c>
      <c r="O80" s="118">
        <v>9096</v>
      </c>
      <c r="P80" s="119">
        <f t="shared" si="4"/>
        <v>13035.4038098724</v>
      </c>
      <c r="Q80" s="119">
        <v>13035</v>
      </c>
    </row>
    <row r="81" spans="1:17" x14ac:dyDescent="0.2">
      <c r="A81" s="140" t="s">
        <v>80</v>
      </c>
      <c r="B81" s="142">
        <v>35</v>
      </c>
      <c r="C81" s="144" t="s">
        <v>79</v>
      </c>
      <c r="D81" s="117">
        <v>5760</v>
      </c>
      <c r="E81" s="118">
        <v>30478.49</v>
      </c>
      <c r="F81" s="118">
        <v>117709.43</v>
      </c>
      <c r="H81" s="118">
        <v>29857</v>
      </c>
      <c r="I81" s="118">
        <f t="shared" si="5"/>
        <v>99164.612246000004</v>
      </c>
      <c r="J81" s="120"/>
      <c r="K81" s="118">
        <v>14187</v>
      </c>
      <c r="M81" s="122">
        <f t="shared" si="6"/>
        <v>255158.042246</v>
      </c>
      <c r="O81" s="118">
        <v>9760</v>
      </c>
      <c r="P81" s="119">
        <f t="shared" si="4"/>
        <v>14186.992837264599</v>
      </c>
      <c r="Q81" s="119">
        <v>14187</v>
      </c>
    </row>
    <row r="82" spans="1:17" x14ac:dyDescent="0.2">
      <c r="A82" s="140" t="s">
        <v>80</v>
      </c>
      <c r="B82" s="142">
        <v>36</v>
      </c>
      <c r="C82" s="144" t="s">
        <v>79</v>
      </c>
      <c r="D82" s="117">
        <v>5939</v>
      </c>
      <c r="E82" s="118">
        <v>31472.58</v>
      </c>
      <c r="F82" s="118">
        <v>121548.66</v>
      </c>
      <c r="H82" s="118">
        <v>30700</v>
      </c>
      <c r="I82" s="118">
        <f t="shared" si="5"/>
        <v>102311.304732</v>
      </c>
      <c r="J82" s="120"/>
      <c r="K82" s="118">
        <v>14506</v>
      </c>
      <c r="M82" s="122">
        <f t="shared" si="6"/>
        <v>263126.96473200002</v>
      </c>
      <c r="O82" s="118">
        <v>9939</v>
      </c>
      <c r="P82" s="119">
        <f t="shared" si="4"/>
        <v>14506.4702201532</v>
      </c>
      <c r="Q82" s="119">
        <v>14506</v>
      </c>
    </row>
    <row r="83" spans="1:17" x14ac:dyDescent="0.2">
      <c r="A83" s="140" t="s">
        <v>80</v>
      </c>
      <c r="B83" s="142">
        <v>40</v>
      </c>
      <c r="C83" s="144" t="s">
        <v>79</v>
      </c>
      <c r="D83" s="117">
        <v>6727</v>
      </c>
      <c r="E83" s="118">
        <v>35651.57</v>
      </c>
      <c r="F83" s="118">
        <v>137688.13</v>
      </c>
      <c r="H83" s="118">
        <v>34246</v>
      </c>
      <c r="I83" s="118">
        <f t="shared" si="5"/>
        <v>115539.479678</v>
      </c>
      <c r="J83" s="120"/>
      <c r="K83" s="118">
        <v>15885</v>
      </c>
      <c r="M83" s="122">
        <f t="shared" si="6"/>
        <v>296631.60967799998</v>
      </c>
      <c r="O83" s="118">
        <v>10727</v>
      </c>
      <c r="P83" s="119">
        <f t="shared" si="4"/>
        <v>15885.0139116878</v>
      </c>
      <c r="Q83" s="119">
        <v>15885</v>
      </c>
    </row>
    <row r="84" spans="1:17" x14ac:dyDescent="0.2">
      <c r="A84" s="140" t="s">
        <v>80</v>
      </c>
      <c r="B84" s="142">
        <v>44</v>
      </c>
      <c r="C84" s="144" t="s">
        <v>79</v>
      </c>
      <c r="D84" s="117">
        <v>7163</v>
      </c>
      <c r="E84" s="118">
        <v>37957.57</v>
      </c>
      <c r="F84" s="118">
        <v>146593.99</v>
      </c>
      <c r="H84" s="118">
        <v>36202</v>
      </c>
      <c r="I84" s="118">
        <f t="shared" si="5"/>
        <v>122838.892078</v>
      </c>
      <c r="J84" s="120"/>
      <c r="K84" s="118">
        <v>16647</v>
      </c>
      <c r="M84" s="122">
        <f t="shared" si="6"/>
        <v>315118.882078</v>
      </c>
      <c r="O84" s="118">
        <v>11163</v>
      </c>
      <c r="P84" s="119">
        <f t="shared" si="4"/>
        <v>16646.8806289278</v>
      </c>
      <c r="Q84" s="119">
        <v>16647</v>
      </c>
    </row>
    <row r="85" spans="1:17" ht="15" x14ac:dyDescent="0.25">
      <c r="A85" s="140"/>
      <c r="B85" s="142"/>
      <c r="C85" s="136"/>
      <c r="D85" s="117"/>
      <c r="E85" s="118"/>
      <c r="F85" s="118"/>
      <c r="H85" s="118"/>
      <c r="I85" s="118"/>
      <c r="J85" s="120"/>
      <c r="K85" s="118"/>
      <c r="M85" s="122"/>
      <c r="O85" s="118"/>
      <c r="P85" s="119">
        <f t="shared" si="4"/>
        <v>120</v>
      </c>
      <c r="Q85" s="119">
        <v>120</v>
      </c>
    </row>
    <row r="86" spans="1:17" x14ac:dyDescent="0.2">
      <c r="A86" s="137" t="s">
        <v>78</v>
      </c>
      <c r="B86" s="138">
        <v>30</v>
      </c>
      <c r="C86" s="143" t="s">
        <v>75</v>
      </c>
      <c r="D86" s="117">
        <v>5565</v>
      </c>
      <c r="E86" s="118">
        <v>29495.919999999998</v>
      </c>
      <c r="F86" s="118">
        <v>113914.7</v>
      </c>
      <c r="H86" s="118">
        <v>29024</v>
      </c>
      <c r="I86" s="118">
        <f t="shared" si="5"/>
        <v>96054.385167999993</v>
      </c>
      <c r="J86" s="120"/>
      <c r="K86" s="118">
        <v>13853</v>
      </c>
      <c r="M86" s="122">
        <f t="shared" si="6"/>
        <v>247281.08516800002</v>
      </c>
      <c r="O86" s="118">
        <v>9565</v>
      </c>
      <c r="P86" s="119">
        <f t="shared" si="4"/>
        <v>13853.1433748368</v>
      </c>
      <c r="Q86" s="119">
        <v>13853</v>
      </c>
    </row>
    <row r="87" spans="1:17" x14ac:dyDescent="0.2">
      <c r="A87" s="140" t="s">
        <v>77</v>
      </c>
      <c r="B87" s="142">
        <v>15</v>
      </c>
      <c r="C87" s="144" t="s">
        <v>75</v>
      </c>
      <c r="D87" s="117">
        <v>2782</v>
      </c>
      <c r="E87" s="118">
        <v>18623.2</v>
      </c>
      <c r="F87" s="118">
        <v>71923.710000000006</v>
      </c>
      <c r="H87" s="118">
        <v>19799</v>
      </c>
      <c r="I87" s="118">
        <f t="shared" si="5"/>
        <v>61637.877280000001</v>
      </c>
      <c r="J87" s="120"/>
      <c r="K87" s="118">
        <v>9534</v>
      </c>
      <c r="M87" s="122">
        <f t="shared" si="6"/>
        <v>160112.58728000001</v>
      </c>
      <c r="O87" s="118">
        <v>6782</v>
      </c>
      <c r="P87" s="119">
        <f t="shared" si="4"/>
        <v>9533.6916949280003</v>
      </c>
      <c r="Q87" s="119">
        <v>9534</v>
      </c>
    </row>
    <row r="88" spans="1:17" x14ac:dyDescent="0.2">
      <c r="A88" s="140" t="s">
        <v>77</v>
      </c>
      <c r="B88" s="142">
        <v>24</v>
      </c>
      <c r="C88" s="144" t="s">
        <v>75</v>
      </c>
      <c r="D88" s="117">
        <v>4957</v>
      </c>
      <c r="E88" s="118">
        <v>26333.79</v>
      </c>
      <c r="F88" s="118">
        <v>101702.39999999999</v>
      </c>
      <c r="H88" s="118">
        <v>26341</v>
      </c>
      <c r="I88" s="118">
        <f t="shared" si="5"/>
        <v>86044.978866000005</v>
      </c>
      <c r="J88" s="120"/>
      <c r="K88" s="118">
        <v>12798</v>
      </c>
      <c r="M88" s="122">
        <f t="shared" si="6"/>
        <v>221929.37886599998</v>
      </c>
      <c r="O88" s="118">
        <v>8957</v>
      </c>
      <c r="P88" s="119">
        <f t="shared" si="4"/>
        <v>12798.294752726601</v>
      </c>
      <c r="Q88" s="119">
        <v>12798</v>
      </c>
    </row>
    <row r="89" spans="1:17" x14ac:dyDescent="0.2">
      <c r="A89" s="140" t="s">
        <v>77</v>
      </c>
      <c r="B89" s="142">
        <v>28</v>
      </c>
      <c r="C89" s="144" t="s">
        <v>75</v>
      </c>
      <c r="D89" s="117">
        <v>5362</v>
      </c>
      <c r="E89" s="118">
        <v>28441.84</v>
      </c>
      <c r="F89" s="118">
        <v>109843.78</v>
      </c>
      <c r="H89" s="118">
        <v>28129</v>
      </c>
      <c r="I89" s="118">
        <f t="shared" si="5"/>
        <v>92717.800336</v>
      </c>
      <c r="J89" s="120"/>
      <c r="K89" s="118">
        <v>13501</v>
      </c>
      <c r="M89" s="122">
        <f t="shared" si="6"/>
        <v>238829.58033600001</v>
      </c>
      <c r="O89" s="118">
        <v>9362</v>
      </c>
      <c r="P89" s="119">
        <f t="shared" si="4"/>
        <v>13501.1886526736</v>
      </c>
      <c r="Q89" s="119">
        <v>13501</v>
      </c>
    </row>
    <row r="90" spans="1:17" x14ac:dyDescent="0.2">
      <c r="A90" s="140" t="s">
        <v>77</v>
      </c>
      <c r="B90" s="142">
        <v>35</v>
      </c>
      <c r="C90" s="144" t="s">
        <v>75</v>
      </c>
      <c r="D90" s="117">
        <v>6072</v>
      </c>
      <c r="E90" s="118">
        <v>32131.439999999999</v>
      </c>
      <c r="F90" s="118">
        <v>124093.2</v>
      </c>
      <c r="H90" s="118">
        <v>31259</v>
      </c>
      <c r="I90" s="118">
        <f t="shared" si="5"/>
        <v>104396.860176</v>
      </c>
      <c r="J90" s="120"/>
      <c r="K90" s="118">
        <v>14733</v>
      </c>
      <c r="M90" s="122">
        <f t="shared" si="6"/>
        <v>268410.060176</v>
      </c>
      <c r="O90" s="118">
        <v>10072</v>
      </c>
      <c r="P90" s="119">
        <f t="shared" si="4"/>
        <v>14732.5754002576</v>
      </c>
      <c r="Q90" s="119">
        <v>14733</v>
      </c>
    </row>
    <row r="91" spans="1:17" x14ac:dyDescent="0.2">
      <c r="A91" s="140" t="s">
        <v>77</v>
      </c>
      <c r="B91" s="142">
        <v>36</v>
      </c>
      <c r="C91" s="144" t="s">
        <v>75</v>
      </c>
      <c r="D91" s="117">
        <v>6258</v>
      </c>
      <c r="E91" s="118">
        <v>33160.370000000003</v>
      </c>
      <c r="F91" s="118">
        <v>128066.98</v>
      </c>
      <c r="H91" s="118">
        <v>32132</v>
      </c>
      <c r="I91" s="118">
        <f t="shared" si="5"/>
        <v>107653.83519800002</v>
      </c>
      <c r="J91" s="120"/>
      <c r="K91" s="118">
        <v>15064</v>
      </c>
      <c r="M91" s="122">
        <f t="shared" si="6"/>
        <v>276658.815198</v>
      </c>
      <c r="O91" s="118">
        <v>10258</v>
      </c>
      <c r="P91" s="119">
        <f t="shared" si="4"/>
        <v>15063.9761120398</v>
      </c>
      <c r="Q91" s="119">
        <v>15064</v>
      </c>
    </row>
    <row r="92" spans="1:17" x14ac:dyDescent="0.2">
      <c r="A92" s="140" t="s">
        <v>77</v>
      </c>
      <c r="B92" s="142">
        <v>40</v>
      </c>
      <c r="C92" s="144" t="s">
        <v>75</v>
      </c>
      <c r="D92" s="117">
        <v>7092</v>
      </c>
      <c r="E92" s="118">
        <v>37577.839999999997</v>
      </c>
      <c r="F92" s="118">
        <v>145127.48000000001</v>
      </c>
      <c r="G92" s="148"/>
      <c r="H92" s="118">
        <v>35880</v>
      </c>
      <c r="I92" s="118">
        <f t="shared" si="5"/>
        <v>121636.89473599999</v>
      </c>
      <c r="J92" s="120"/>
      <c r="K92" s="118">
        <v>16522</v>
      </c>
      <c r="M92" s="122">
        <f t="shared" si="6"/>
        <v>312074.37473599997</v>
      </c>
      <c r="O92" s="118">
        <v>11092</v>
      </c>
      <c r="P92" s="119">
        <f t="shared" si="4"/>
        <v>16522.2200181136</v>
      </c>
      <c r="Q92" s="119">
        <v>16522</v>
      </c>
    </row>
    <row r="93" spans="1:17" x14ac:dyDescent="0.2">
      <c r="A93" s="140" t="s">
        <v>77</v>
      </c>
      <c r="B93" s="142">
        <v>44</v>
      </c>
      <c r="C93" s="149" t="s">
        <v>75</v>
      </c>
      <c r="D93" s="117">
        <v>7568</v>
      </c>
      <c r="E93" s="118">
        <v>40104.239999999998</v>
      </c>
      <c r="F93" s="118">
        <v>154884.54999999999</v>
      </c>
      <c r="H93" s="118">
        <v>38023</v>
      </c>
      <c r="I93" s="118">
        <f t="shared" si="5"/>
        <v>129633.96129599999</v>
      </c>
      <c r="J93" s="120"/>
      <c r="K93" s="118">
        <v>17355</v>
      </c>
      <c r="M93" s="122">
        <f>+F93-D93+H93+I93+K93</f>
        <v>332328.51129599998</v>
      </c>
      <c r="O93" s="118">
        <v>11568</v>
      </c>
      <c r="P93" s="119">
        <f t="shared" si="4"/>
        <v>17355.232019169598</v>
      </c>
      <c r="Q93" s="119">
        <v>17355</v>
      </c>
    </row>
    <row r="94" spans="1:17" ht="15" x14ac:dyDescent="0.25">
      <c r="A94" s="150"/>
      <c r="B94" s="151"/>
      <c r="C94" s="152"/>
      <c r="D94" s="152"/>
      <c r="F94" s="103"/>
    </row>
    <row r="95" spans="1:17" x14ac:dyDescent="0.2">
      <c r="A95" s="165" t="s">
        <v>162</v>
      </c>
      <c r="B95" s="165"/>
      <c r="C95" s="165"/>
      <c r="D95" s="165"/>
      <c r="E95" s="165"/>
      <c r="F95" s="165"/>
      <c r="G95" s="165"/>
      <c r="H95" s="165"/>
      <c r="I95" s="165"/>
    </row>
    <row r="96" spans="1:17" x14ac:dyDescent="0.2">
      <c r="A96" s="165" t="s">
        <v>163</v>
      </c>
      <c r="B96" s="165"/>
      <c r="C96" s="165"/>
      <c r="D96" s="165"/>
      <c r="E96" s="165"/>
      <c r="F96" s="165"/>
      <c r="G96" s="165"/>
      <c r="H96" s="165"/>
      <c r="I96" s="165"/>
    </row>
    <row r="97" spans="1:13" x14ac:dyDescent="0.2">
      <c r="A97" s="165" t="s">
        <v>164</v>
      </c>
      <c r="B97" s="165"/>
      <c r="C97" s="165"/>
      <c r="D97" s="165"/>
      <c r="E97" s="165"/>
      <c r="F97" s="165"/>
      <c r="G97" s="165"/>
      <c r="H97" s="165"/>
      <c r="I97" s="165"/>
    </row>
    <row r="98" spans="1:13" x14ac:dyDescent="0.2">
      <c r="A98" s="153"/>
    </row>
    <row r="99" spans="1:13" x14ac:dyDescent="0.2">
      <c r="A99" s="169" t="s">
        <v>165</v>
      </c>
      <c r="B99" s="169"/>
      <c r="C99" s="169"/>
      <c r="D99" s="169"/>
      <c r="E99" s="169"/>
      <c r="F99" s="169"/>
      <c r="G99" s="169"/>
      <c r="H99" s="169"/>
      <c r="I99" s="169"/>
      <c r="J99" s="169"/>
      <c r="K99" s="169"/>
    </row>
    <row r="100" spans="1:13" x14ac:dyDescent="0.2">
      <c r="A100" s="126" t="s">
        <v>166</v>
      </c>
      <c r="B100" s="159"/>
      <c r="C100" s="159"/>
      <c r="D100" s="159"/>
      <c r="E100" s="155"/>
      <c r="F100" s="159"/>
      <c r="G100" s="159"/>
      <c r="H100" s="159"/>
      <c r="I100" s="159"/>
      <c r="J100" s="159"/>
      <c r="K100" s="159"/>
    </row>
    <row r="101" spans="1:13" x14ac:dyDescent="0.2">
      <c r="A101" s="165" t="s">
        <v>167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</row>
    <row r="102" spans="1:13" ht="32.25" customHeight="1" x14ac:dyDescent="0.2">
      <c r="A102" s="166" t="s">
        <v>168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</row>
    <row r="103" spans="1:13" ht="31.5" customHeight="1" x14ac:dyDescent="0.2">
      <c r="A103" s="166" t="s">
        <v>169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0"/>
      <c r="M103" s="160"/>
    </row>
    <row r="104" spans="1:13" ht="28.5" customHeight="1" x14ac:dyDescent="0.2">
      <c r="A104" s="167" t="s">
        <v>170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1"/>
      <c r="M104" s="161"/>
    </row>
    <row r="106" spans="1:13" ht="18" customHeight="1" x14ac:dyDescent="0.2">
      <c r="A106" s="168" t="s">
        <v>182</v>
      </c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</row>
    <row r="108" spans="1:13" x14ac:dyDescent="0.2">
      <c r="A108" s="169" t="s">
        <v>171</v>
      </c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</row>
    <row r="110" spans="1:13" ht="48.75" customHeight="1" x14ac:dyDescent="0.2">
      <c r="A110" s="164" t="s">
        <v>185</v>
      </c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</row>
    <row r="112" spans="1:13" x14ac:dyDescent="0.2">
      <c r="K112" s="154"/>
    </row>
    <row r="113" spans="11:11" x14ac:dyDescent="0.2">
      <c r="K113" s="154"/>
    </row>
  </sheetData>
  <mergeCells count="13">
    <mergeCell ref="A99:K99"/>
    <mergeCell ref="A1:F1"/>
    <mergeCell ref="H1:M1"/>
    <mergeCell ref="A95:I95"/>
    <mergeCell ref="A96:I96"/>
    <mergeCell ref="A97:I97"/>
    <mergeCell ref="A110:K110"/>
    <mergeCell ref="A101:K101"/>
    <mergeCell ref="A102:K102"/>
    <mergeCell ref="A103:K103"/>
    <mergeCell ref="A104:K104"/>
    <mergeCell ref="A106:K106"/>
    <mergeCell ref="A108:K108"/>
  </mergeCells>
  <printOptions horizontalCentered="1"/>
  <pageMargins left="0.35433070866141736" right="0.31496062992125984" top="0.51181102362204722" bottom="0.43307086614173229" header="0.31496062992125984" footer="0.19685039370078741"/>
  <pageSetup paperSize="9" scale="64" fitToHeight="2" orientation="landscape" r:id="rId1"/>
  <headerFoot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0"/>
  <sheetViews>
    <sheetView workbookViewId="0">
      <selection activeCell="A5" sqref="A5"/>
    </sheetView>
  </sheetViews>
  <sheetFormatPr baseColWidth="10" defaultRowHeight="12.75" x14ac:dyDescent="0.2"/>
  <cols>
    <col min="1" max="1" width="37" style="2" customWidth="1"/>
    <col min="2" max="2" width="3.5703125" style="1" customWidth="1"/>
    <col min="3" max="3" width="12.28515625" style="2" customWidth="1"/>
    <col min="4" max="4" width="13" style="7" customWidth="1"/>
    <col min="5" max="5" width="11.7109375" style="3" customWidth="1"/>
    <col min="6" max="6" width="11.5703125" customWidth="1"/>
    <col min="7" max="7" width="12.7109375" customWidth="1"/>
    <col min="8" max="8" width="11.7109375" style="8" customWidth="1"/>
    <col min="9" max="9" width="13.140625" style="7" customWidth="1"/>
    <col min="10" max="11" width="13.85546875" style="7" customWidth="1"/>
    <col min="12" max="12" width="14.85546875" style="7" customWidth="1"/>
    <col min="13" max="13" width="12.140625" style="6" customWidth="1"/>
    <col min="14" max="16" width="14" style="6" customWidth="1"/>
    <col min="17" max="19" width="14" style="5" customWidth="1"/>
    <col min="20" max="20" width="2.42578125" customWidth="1"/>
    <col min="21" max="21" width="12.42578125" style="1" hidden="1" customWidth="1"/>
    <col min="22" max="22" width="4" hidden="1" customWidth="1"/>
    <col min="23" max="24" width="11.42578125" hidden="1" customWidth="1"/>
    <col min="25" max="25" width="17.28515625" style="4" hidden="1" customWidth="1"/>
    <col min="26" max="26" width="11.42578125" hidden="1" customWidth="1"/>
    <col min="27" max="27" width="14.5703125" hidden="1" customWidth="1"/>
    <col min="28" max="29" width="11.42578125" hidden="1" customWidth="1"/>
    <col min="30" max="30" width="15.85546875" style="5" hidden="1" customWidth="1"/>
    <col min="31" max="31" width="16.85546875" style="3" hidden="1" customWidth="1"/>
    <col min="32" max="32" width="4" hidden="1" customWidth="1"/>
    <col min="33" max="33" width="37.85546875" hidden="1" customWidth="1"/>
    <col min="34" max="34" width="4" hidden="1" customWidth="1"/>
    <col min="35" max="35" width="14.140625" hidden="1" customWidth="1"/>
    <col min="36" max="36" width="14.7109375" hidden="1" customWidth="1"/>
    <col min="37" max="37" width="0" hidden="1" customWidth="1"/>
    <col min="38" max="38" width="16.140625" hidden="1" customWidth="1"/>
    <col min="39" max="39" width="14.85546875" hidden="1" customWidth="1"/>
    <col min="40" max="40" width="11.42578125" hidden="1" customWidth="1"/>
    <col min="41" max="41" width="11.85546875" style="4" hidden="1" customWidth="1"/>
    <col min="42" max="42" width="11.85546875" style="3" hidden="1" customWidth="1"/>
    <col min="43" max="43" width="12.85546875" style="3" hidden="1" customWidth="1"/>
    <col min="44" max="44" width="0" hidden="1" customWidth="1"/>
    <col min="45" max="45" width="15.85546875" hidden="1" customWidth="1"/>
    <col min="46" max="46" width="2.85546875" hidden="1" customWidth="1"/>
    <col min="47" max="47" width="16.42578125" hidden="1" customWidth="1"/>
    <col min="48" max="49" width="0" hidden="1" customWidth="1"/>
    <col min="50" max="50" width="12.28515625" style="2" hidden="1" customWidth="1"/>
    <col min="51" max="51" width="3.5703125" style="1" hidden="1" customWidth="1"/>
    <col min="52" max="52" width="3" bestFit="1" customWidth="1"/>
    <col min="56" max="56" width="14.140625" customWidth="1"/>
    <col min="57" max="57" width="14.28515625" customWidth="1"/>
    <col min="58" max="58" width="16.5703125" customWidth="1"/>
    <col min="59" max="59" width="14" customWidth="1"/>
    <col min="60" max="60" width="11.7109375" bestFit="1" customWidth="1"/>
    <col min="61" max="61" width="13.140625" customWidth="1"/>
    <col min="62" max="62" width="1.5703125" customWidth="1"/>
    <col min="63" max="63" width="12.5703125" customWidth="1"/>
    <col min="64" max="64" width="1.7109375" customWidth="1"/>
    <col min="65" max="65" width="15.85546875" customWidth="1"/>
  </cols>
  <sheetData>
    <row r="1" spans="1:65" ht="15.75" customHeight="1" x14ac:dyDescent="0.2">
      <c r="A1" s="173" t="s">
        <v>150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81"/>
      <c r="R1" s="82">
        <v>0.34939999999999999</v>
      </c>
      <c r="S1" s="81"/>
      <c r="T1" s="68"/>
      <c r="AD1" s="5" t="s">
        <v>149</v>
      </c>
      <c r="AL1" s="5" t="s">
        <v>149</v>
      </c>
      <c r="AM1" t="s">
        <v>148</v>
      </c>
      <c r="AQ1" s="3">
        <f>4000*0.25</f>
        <v>1000</v>
      </c>
      <c r="AR1">
        <f>4000*0.3</f>
        <v>1200</v>
      </c>
      <c r="AS1">
        <f>4000*0.4</f>
        <v>1600</v>
      </c>
      <c r="AX1"/>
      <c r="AY1"/>
      <c r="BF1" s="162" t="s">
        <v>173</v>
      </c>
      <c r="BI1" s="162"/>
    </row>
    <row r="2" spans="1:65" ht="15" x14ac:dyDescent="0.25">
      <c r="A2" s="174" t="s">
        <v>147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80"/>
      <c r="R2" s="80"/>
      <c r="S2" s="80"/>
      <c r="T2" s="68"/>
      <c r="AD2" s="79">
        <v>0.84836862999999996</v>
      </c>
      <c r="AL2" s="79">
        <v>0.84836862999999996</v>
      </c>
      <c r="AQ2" s="78">
        <v>1.1776044643116772</v>
      </c>
      <c r="AR2" s="78">
        <v>1.4131253571740126</v>
      </c>
      <c r="AS2" s="78">
        <v>1.8841671428986835</v>
      </c>
      <c r="AT2" s="78"/>
      <c r="AX2"/>
      <c r="AY2"/>
      <c r="BF2" s="162">
        <f>4000*0.45</f>
        <v>1800</v>
      </c>
      <c r="BI2" s="162" t="s">
        <v>178</v>
      </c>
    </row>
    <row r="3" spans="1:65" ht="15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80"/>
      <c r="R3" s="80"/>
      <c r="S3" s="80"/>
      <c r="T3" s="68"/>
      <c r="AD3" s="79"/>
      <c r="AL3" s="79"/>
      <c r="AQ3" s="78"/>
      <c r="AR3" s="78"/>
      <c r="AS3" s="78"/>
      <c r="AT3" s="78"/>
      <c r="AX3" s="77"/>
      <c r="AY3" s="77"/>
      <c r="BF3" s="162" t="s">
        <v>175</v>
      </c>
      <c r="BI3" s="163">
        <v>9000</v>
      </c>
    </row>
    <row r="4" spans="1:65" ht="15" x14ac:dyDescent="0.25">
      <c r="A4" s="77"/>
      <c r="B4" s="77"/>
      <c r="C4" s="77"/>
      <c r="D4" s="77" t="s">
        <v>146</v>
      </c>
      <c r="E4" s="77" t="s">
        <v>146</v>
      </c>
      <c r="F4" s="77" t="s">
        <v>146</v>
      </c>
      <c r="G4" s="77" t="s">
        <v>146</v>
      </c>
      <c r="H4" s="77" t="s">
        <v>146</v>
      </c>
      <c r="I4" s="77" t="s">
        <v>146</v>
      </c>
      <c r="J4" s="77" t="s">
        <v>146</v>
      </c>
      <c r="K4" s="77" t="s">
        <v>146</v>
      </c>
      <c r="L4" s="77" t="s">
        <v>146</v>
      </c>
      <c r="M4" s="77" t="s">
        <v>145</v>
      </c>
      <c r="N4" s="77" t="s">
        <v>145</v>
      </c>
      <c r="O4" s="77" t="s">
        <v>146</v>
      </c>
      <c r="P4" s="77" t="s">
        <v>145</v>
      </c>
      <c r="Q4" s="80" t="s">
        <v>146</v>
      </c>
      <c r="R4" s="80" t="s">
        <v>146</v>
      </c>
      <c r="S4" s="80"/>
      <c r="T4" s="68"/>
      <c r="AD4" s="79"/>
      <c r="AL4" s="79"/>
      <c r="AN4" t="s">
        <v>145</v>
      </c>
      <c r="AQ4" s="78">
        <v>1.1776044640000001</v>
      </c>
      <c r="AR4" s="78">
        <v>1.413125357</v>
      </c>
      <c r="AS4" s="78">
        <v>1.884167143</v>
      </c>
      <c r="AT4" s="78"/>
      <c r="AX4" s="77"/>
      <c r="AY4" s="77"/>
      <c r="BF4" s="162">
        <v>2.1196880400000002</v>
      </c>
      <c r="BG4" s="103"/>
      <c r="BI4" s="162" t="s">
        <v>179</v>
      </c>
    </row>
    <row r="5" spans="1:65" ht="94.5" customHeight="1" x14ac:dyDescent="0.2">
      <c r="A5" s="59" t="s">
        <v>123</v>
      </c>
      <c r="B5" s="59" t="s">
        <v>110</v>
      </c>
      <c r="C5" s="59" t="s">
        <v>111</v>
      </c>
      <c r="D5" s="76" t="s">
        <v>144</v>
      </c>
      <c r="E5" s="75" t="s">
        <v>143</v>
      </c>
      <c r="F5" s="75" t="s">
        <v>142</v>
      </c>
      <c r="G5" s="74" t="s">
        <v>141</v>
      </c>
      <c r="H5" s="73" t="s">
        <v>140</v>
      </c>
      <c r="I5" s="72" t="s">
        <v>139</v>
      </c>
      <c r="J5" s="62" t="s">
        <v>138</v>
      </c>
      <c r="K5" s="62" t="s">
        <v>137</v>
      </c>
      <c r="L5" s="62" t="s">
        <v>136</v>
      </c>
      <c r="M5" s="71" t="s">
        <v>135</v>
      </c>
      <c r="N5" s="70" t="s">
        <v>134</v>
      </c>
      <c r="O5" s="63" t="s">
        <v>133</v>
      </c>
      <c r="P5" s="69" t="s">
        <v>132</v>
      </c>
      <c r="Q5" s="63" t="s">
        <v>131</v>
      </c>
      <c r="R5" s="69" t="s">
        <v>130</v>
      </c>
      <c r="S5" s="63" t="s">
        <v>129</v>
      </c>
      <c r="T5" s="68" t="s">
        <v>128</v>
      </c>
      <c r="U5" s="67" t="s">
        <v>127</v>
      </c>
      <c r="V5" s="66"/>
      <c r="W5" s="66" t="s">
        <v>126</v>
      </c>
      <c r="X5" s="66" t="s">
        <v>125</v>
      </c>
      <c r="Y5" s="65" t="s">
        <v>124</v>
      </c>
      <c r="Z5" s="64"/>
      <c r="AA5" s="64"/>
      <c r="AD5" s="63" t="s">
        <v>120</v>
      </c>
      <c r="AE5" s="62" t="s">
        <v>119</v>
      </c>
      <c r="AG5" s="59" t="s">
        <v>123</v>
      </c>
      <c r="AH5" s="59" t="s">
        <v>122</v>
      </c>
      <c r="AI5" s="59" t="s">
        <v>111</v>
      </c>
      <c r="AJ5" s="63" t="s">
        <v>121</v>
      </c>
      <c r="AL5" s="63" t="s">
        <v>120</v>
      </c>
      <c r="AM5" s="62" t="s">
        <v>119</v>
      </c>
      <c r="AN5" s="60" t="s">
        <v>118</v>
      </c>
      <c r="AO5" s="61" t="s">
        <v>117</v>
      </c>
      <c r="AP5" s="60">
        <v>0.4</v>
      </c>
      <c r="AQ5" s="60" t="s">
        <v>116</v>
      </c>
      <c r="AR5" s="60" t="s">
        <v>115</v>
      </c>
      <c r="AS5" s="60" t="s">
        <v>114</v>
      </c>
      <c r="AT5" s="60" t="s">
        <v>76</v>
      </c>
      <c r="AU5" s="60" t="s">
        <v>113</v>
      </c>
      <c r="AV5" s="60" t="s">
        <v>112</v>
      </c>
      <c r="AX5" s="59" t="s">
        <v>111</v>
      </c>
      <c r="AY5" s="59" t="s">
        <v>110</v>
      </c>
      <c r="AZ5" t="s">
        <v>110</v>
      </c>
      <c r="BA5" t="s">
        <v>109</v>
      </c>
      <c r="BB5" t="s">
        <v>108</v>
      </c>
      <c r="BC5" t="s">
        <v>107</v>
      </c>
      <c r="BD5" s="156" t="s">
        <v>172</v>
      </c>
      <c r="BE5" s="67" t="s">
        <v>174</v>
      </c>
      <c r="BF5" s="110" t="s">
        <v>176</v>
      </c>
      <c r="BG5" s="110" t="s">
        <v>158</v>
      </c>
      <c r="BH5" s="110" t="s">
        <v>177</v>
      </c>
      <c r="BI5" s="112" t="s">
        <v>160</v>
      </c>
      <c r="BJ5" s="113"/>
      <c r="BK5" s="110" t="s">
        <v>161</v>
      </c>
      <c r="BM5" s="110" t="s">
        <v>180</v>
      </c>
    </row>
    <row r="6" spans="1:65" x14ac:dyDescent="0.2">
      <c r="A6" s="58" t="s">
        <v>105</v>
      </c>
      <c r="B6" s="57">
        <v>30</v>
      </c>
      <c r="C6" s="56" t="s">
        <v>106</v>
      </c>
      <c r="D6" s="89">
        <v>5355.02</v>
      </c>
      <c r="E6" s="90">
        <v>300</v>
      </c>
      <c r="F6" s="91">
        <v>1300</v>
      </c>
      <c r="G6" s="91">
        <v>168.2</v>
      </c>
      <c r="H6" s="92">
        <v>2418.38</v>
      </c>
      <c r="I6" s="91">
        <v>2713.42</v>
      </c>
      <c r="J6" s="91">
        <v>1319.58</v>
      </c>
      <c r="K6" s="91">
        <v>3081.02</v>
      </c>
      <c r="L6" s="91">
        <v>2179.88</v>
      </c>
      <c r="M6" s="91">
        <v>2778</v>
      </c>
      <c r="N6" s="91">
        <v>2330.3000000000002</v>
      </c>
      <c r="O6" s="91">
        <v>4788.76</v>
      </c>
      <c r="P6" s="91">
        <v>1848</v>
      </c>
      <c r="Q6" s="95">
        <v>11578.93</v>
      </c>
      <c r="R6" s="93">
        <f t="shared" ref="R6:R13" si="0">SUM(D6:Q6)*$R$1</f>
        <v>14730.525806</v>
      </c>
      <c r="S6" s="94">
        <f t="shared" ref="S6:S13" si="1">SUM(D6:R6)</f>
        <v>56890.015805999996</v>
      </c>
      <c r="T6" s="19"/>
      <c r="U6" s="18">
        <v>0.02</v>
      </c>
      <c r="V6" s="17"/>
      <c r="W6" s="5">
        <f t="shared" ref="W6:W13" si="2">+D6+E6+F6+G6+H6+I6+J6+K6+L6+M6+N6</f>
        <v>23943.8</v>
      </c>
      <c r="X6" s="32">
        <f>1849/W6</f>
        <v>7.7222496011493585E-2</v>
      </c>
      <c r="Y6" s="4">
        <f t="shared" ref="Y6:Y13" si="3">+W6*X6</f>
        <v>1849</v>
      </c>
      <c r="Z6" s="4">
        <f t="shared" ref="Z6:Z13" si="4">+P6-Y6</f>
        <v>-1</v>
      </c>
      <c r="AA6" s="12"/>
      <c r="AD6" s="16">
        <f t="shared" ref="AD6:AD13" si="5">+R6*$AD$2</f>
        <v>12496.915997215865</v>
      </c>
      <c r="AE6" s="16">
        <f t="shared" ref="AE6:AE13" si="6">+S6+AD6</f>
        <v>69386.931803215863</v>
      </c>
      <c r="AG6" s="58" t="s">
        <v>105</v>
      </c>
      <c r="AH6" s="57">
        <v>30</v>
      </c>
      <c r="AI6" s="56" t="s">
        <v>106</v>
      </c>
      <c r="AJ6" s="16">
        <v>7778</v>
      </c>
      <c r="AK6" s="12">
        <f>+AD6+4000</f>
        <v>16496.915997215867</v>
      </c>
      <c r="AL6" s="30">
        <f t="shared" ref="AL6:AL37" si="7">+R6*$AL$2</f>
        <v>12496.915997215865</v>
      </c>
      <c r="AM6" s="30">
        <f t="shared" ref="AM6:AM37" si="8">+S6+AL6</f>
        <v>69386.931803215863</v>
      </c>
      <c r="AN6" s="28">
        <f t="shared" ref="AN6:AN13" si="9">+AL6+4000</f>
        <v>16496.915997215867</v>
      </c>
      <c r="AO6" s="29">
        <f t="shared" ref="AO6:AO13" si="10">+S6+AN6</f>
        <v>73386.931803215863</v>
      </c>
      <c r="AP6" s="28">
        <f t="shared" ref="AP6:AP13" si="11">+AO6*$AP$5</f>
        <v>29354.772721286346</v>
      </c>
      <c r="AQ6" s="28">
        <f t="shared" ref="AQ6:AQ13" si="12">+R6*$AQ$2+1000</f>
        <v>18346.732950803966</v>
      </c>
      <c r="AR6" s="5">
        <f t="shared" ref="AR6:AR13" si="13">+R6*$AR$2+$AR$1</f>
        <v>22016.079540964758</v>
      </c>
      <c r="AS6" s="5">
        <f t="shared" ref="AS6:AS13" si="14">+R6*$AS$2+$AS$1</f>
        <v>29354.772721286346</v>
      </c>
      <c r="AT6" s="27" t="s">
        <v>76</v>
      </c>
      <c r="AU6" s="5">
        <f t="shared" ref="AU6:AU37" si="15">+D6+G6+H6+I6+J6+K6+L6+O6+Q6+R6+AQ6+E6+F6</f>
        <v>68280.448756803962</v>
      </c>
      <c r="AV6" s="5">
        <f t="shared" ref="AV6:AV37" si="16">+M6+N6+P6+AN6+4000</f>
        <v>27453.215997215866</v>
      </c>
      <c r="AW6" s="5">
        <f t="shared" ref="AW6:AW37" si="17">+AU6+AV6</f>
        <v>95733.664754019832</v>
      </c>
      <c r="AX6" s="56" t="s">
        <v>106</v>
      </c>
      <c r="AY6" s="57">
        <v>30</v>
      </c>
      <c r="AZ6" s="57">
        <v>30</v>
      </c>
      <c r="BA6" s="56" t="s">
        <v>106</v>
      </c>
      <c r="BB6" s="12">
        <f t="shared" ref="BB6:BB13" si="18">+D6+E6+F6+G6+H6+I6+J6+K6+L6+O6+Q6+R6</f>
        <v>49933.715806</v>
      </c>
      <c r="BC6" s="5">
        <f t="shared" ref="BC6:BC13" si="19">+M6+N6+P6</f>
        <v>6956.3</v>
      </c>
      <c r="BD6" s="22">
        <f t="shared" ref="BD6:BD13" si="20">+BB6+BC6</f>
        <v>56890.015806000003</v>
      </c>
      <c r="BE6" s="118">
        <v>16497</v>
      </c>
      <c r="BF6" s="157">
        <f>+(R6*$BF$4)+1800</f>
        <v>33024.119373889567</v>
      </c>
      <c r="BG6" s="118">
        <v>8980</v>
      </c>
      <c r="BH6" s="158">
        <f>+BD6+BE6+BF6+BG6-M6</f>
        <v>112613.13517988958</v>
      </c>
      <c r="BI6" s="123">
        <v>10849</v>
      </c>
      <c r="BJ6" s="124"/>
      <c r="BK6" s="125">
        <f>+BH6+9000</f>
        <v>121613.13517988958</v>
      </c>
      <c r="BM6" s="158">
        <f>+BH6</f>
        <v>112613.13517988958</v>
      </c>
    </row>
    <row r="7" spans="1:65" x14ac:dyDescent="0.2">
      <c r="A7" s="54" t="s">
        <v>105</v>
      </c>
      <c r="B7" s="44">
        <v>15</v>
      </c>
      <c r="C7" s="55" t="s">
        <v>104</v>
      </c>
      <c r="D7" s="37">
        <v>2677.51</v>
      </c>
      <c r="E7" s="20">
        <v>300</v>
      </c>
      <c r="F7" s="20">
        <v>1300</v>
      </c>
      <c r="G7" s="20">
        <v>103.45</v>
      </c>
      <c r="H7" s="36">
        <v>2418.38</v>
      </c>
      <c r="I7" s="20">
        <f>+'base enero 2022 '!R6</f>
        <v>14730.525806</v>
      </c>
      <c r="J7" s="20">
        <v>923.3</v>
      </c>
      <c r="K7" s="20">
        <v>1540.51</v>
      </c>
      <c r="L7" s="20">
        <v>1660.18</v>
      </c>
      <c r="M7" s="20">
        <v>1389</v>
      </c>
      <c r="N7" s="20">
        <v>1700.79</v>
      </c>
      <c r="O7" s="20">
        <v>3345.31</v>
      </c>
      <c r="P7" s="20">
        <v>1096</v>
      </c>
      <c r="Q7" s="97">
        <v>8014.83</v>
      </c>
      <c r="R7" s="35">
        <f t="shared" si="0"/>
        <v>14395.205160616399</v>
      </c>
      <c r="S7" s="34">
        <f t="shared" si="1"/>
        <v>55594.990966616402</v>
      </c>
      <c r="T7" s="19"/>
      <c r="U7" s="18">
        <v>0.02</v>
      </c>
      <c r="V7" s="17"/>
      <c r="W7" s="5">
        <f t="shared" si="2"/>
        <v>28743.645806</v>
      </c>
      <c r="X7" s="32">
        <f>1096/W7</f>
        <v>3.8130166486090605E-2</v>
      </c>
      <c r="Y7" s="4">
        <f t="shared" si="3"/>
        <v>1096</v>
      </c>
      <c r="Z7" s="4">
        <f t="shared" si="4"/>
        <v>0</v>
      </c>
      <c r="AA7" s="32"/>
      <c r="AD7" s="16">
        <f t="shared" si="5"/>
        <v>12212.440480681063</v>
      </c>
      <c r="AE7" s="16">
        <f t="shared" si="6"/>
        <v>67807.431447297466</v>
      </c>
      <c r="AG7" s="54" t="s">
        <v>105</v>
      </c>
      <c r="AH7" s="44">
        <v>15</v>
      </c>
      <c r="AI7" s="55" t="s">
        <v>104</v>
      </c>
      <c r="AJ7" s="16">
        <v>6389</v>
      </c>
      <c r="AL7" s="30">
        <f t="shared" si="7"/>
        <v>12212.440480681063</v>
      </c>
      <c r="AM7" s="30">
        <f t="shared" si="8"/>
        <v>67807.431447297466</v>
      </c>
      <c r="AN7" s="28">
        <f t="shared" si="9"/>
        <v>16212.440480681063</v>
      </c>
      <c r="AO7" s="29">
        <f t="shared" si="10"/>
        <v>71807.431447297466</v>
      </c>
      <c r="AP7" s="28">
        <f t="shared" si="11"/>
        <v>28722.972578918987</v>
      </c>
      <c r="AQ7" s="28">
        <f t="shared" si="12"/>
        <v>17951.857861824366</v>
      </c>
      <c r="AR7" s="5">
        <f t="shared" si="13"/>
        <v>21542.229434189238</v>
      </c>
      <c r="AS7" s="5">
        <f t="shared" si="14"/>
        <v>28722.972578918983</v>
      </c>
      <c r="AT7" s="27" t="s">
        <v>76</v>
      </c>
      <c r="AU7" s="5">
        <f t="shared" si="15"/>
        <v>69361.058828440757</v>
      </c>
      <c r="AV7" s="5">
        <f t="shared" si="16"/>
        <v>24398.230480681064</v>
      </c>
      <c r="AW7" s="5">
        <f t="shared" si="17"/>
        <v>93759.289309121814</v>
      </c>
      <c r="AX7" s="55" t="s">
        <v>104</v>
      </c>
      <c r="AY7" s="44">
        <v>15</v>
      </c>
      <c r="AZ7" s="44">
        <v>15</v>
      </c>
      <c r="BA7" s="55" t="s">
        <v>104</v>
      </c>
      <c r="BB7" s="12">
        <f t="shared" si="18"/>
        <v>51409.200966616394</v>
      </c>
      <c r="BC7" s="5">
        <f t="shared" si="19"/>
        <v>4185.79</v>
      </c>
      <c r="BD7" s="22">
        <f t="shared" si="20"/>
        <v>55594.990966616395</v>
      </c>
      <c r="BE7" s="118">
        <v>12650</v>
      </c>
      <c r="BF7" s="157">
        <f t="shared" ref="BF7:BF70" si="21">+(R7*$BF$4)+1800</f>
        <v>32313.344212304863</v>
      </c>
      <c r="BG7" s="118">
        <v>6950</v>
      </c>
      <c r="BH7" s="158">
        <f t="shared" ref="BH7:BH70" si="22">+BD7+BE7+BF7+BG7-M7</f>
        <v>106119.33517892126</v>
      </c>
      <c r="BI7" s="123">
        <v>10096</v>
      </c>
      <c r="BJ7" s="124"/>
      <c r="BK7" s="125">
        <f t="shared" ref="BK7:BK70" si="23">+BH7+9000</f>
        <v>115119.33517892126</v>
      </c>
      <c r="BM7" s="158">
        <f t="shared" ref="BM7:BM70" si="24">+BH7</f>
        <v>106119.33517892126</v>
      </c>
    </row>
    <row r="8" spans="1:65" x14ac:dyDescent="0.2">
      <c r="A8" s="54" t="s">
        <v>105</v>
      </c>
      <c r="B8" s="51">
        <v>24</v>
      </c>
      <c r="C8" s="53" t="s">
        <v>104</v>
      </c>
      <c r="D8" s="37">
        <v>4284.0200000000004</v>
      </c>
      <c r="E8" s="20">
        <v>300</v>
      </c>
      <c r="F8" s="20">
        <v>1300</v>
      </c>
      <c r="G8" s="20">
        <v>142.30000000000001</v>
      </c>
      <c r="H8" s="36">
        <v>2418.38</v>
      </c>
      <c r="I8" s="20">
        <v>2713.42</v>
      </c>
      <c r="J8" s="20">
        <v>1161.07</v>
      </c>
      <c r="K8" s="20">
        <v>3081.02</v>
      </c>
      <c r="L8" s="20">
        <v>1972</v>
      </c>
      <c r="M8" s="20">
        <v>2557</v>
      </c>
      <c r="N8" s="20">
        <v>2144.7399999999998</v>
      </c>
      <c r="O8" s="20">
        <v>4414.79</v>
      </c>
      <c r="P8" s="20">
        <v>1704</v>
      </c>
      <c r="Q8" s="97">
        <v>10674.98</v>
      </c>
      <c r="R8" s="35">
        <f t="shared" si="0"/>
        <v>13580.381368</v>
      </c>
      <c r="S8" s="34">
        <f t="shared" si="1"/>
        <v>52448.101368000003</v>
      </c>
      <c r="T8" s="19"/>
      <c r="U8" s="18">
        <v>0.02</v>
      </c>
      <c r="V8" s="17"/>
      <c r="W8" s="5">
        <f t="shared" si="2"/>
        <v>22073.949999999997</v>
      </c>
      <c r="X8" s="32">
        <f>1704/W8</f>
        <v>7.7195064770917768E-2</v>
      </c>
      <c r="Y8" s="4">
        <f t="shared" si="3"/>
        <v>1704</v>
      </c>
      <c r="Z8" s="4">
        <f t="shared" si="4"/>
        <v>0</v>
      </c>
      <c r="AA8" s="12"/>
      <c r="AD8" s="16">
        <f t="shared" si="5"/>
        <v>11521.169536047686</v>
      </c>
      <c r="AE8" s="16">
        <f t="shared" si="6"/>
        <v>63969.270904047691</v>
      </c>
      <c r="AG8" s="54" t="s">
        <v>105</v>
      </c>
      <c r="AH8" s="51">
        <v>24</v>
      </c>
      <c r="AI8" s="53" t="s">
        <v>104</v>
      </c>
      <c r="AJ8" s="16">
        <v>7557</v>
      </c>
      <c r="AL8" s="30">
        <f t="shared" si="7"/>
        <v>11521.169536047686</v>
      </c>
      <c r="AM8" s="30">
        <f t="shared" si="8"/>
        <v>63969.270904047691</v>
      </c>
      <c r="AN8" s="28">
        <f t="shared" si="9"/>
        <v>15521.169536047686</v>
      </c>
      <c r="AO8" s="29">
        <f t="shared" si="10"/>
        <v>67969.270904047691</v>
      </c>
      <c r="AP8" s="28">
        <f t="shared" si="11"/>
        <v>27187.708361619079</v>
      </c>
      <c r="AQ8" s="28">
        <f t="shared" si="12"/>
        <v>16992.317726011923</v>
      </c>
      <c r="AR8" s="5">
        <f t="shared" si="13"/>
        <v>20390.781271214306</v>
      </c>
      <c r="AS8" s="5">
        <f t="shared" si="14"/>
        <v>27187.708361619076</v>
      </c>
      <c r="AT8" s="27" t="s">
        <v>76</v>
      </c>
      <c r="AU8" s="5">
        <f t="shared" si="15"/>
        <v>63034.679094011924</v>
      </c>
      <c r="AV8" s="5">
        <f t="shared" si="16"/>
        <v>25926.909536047686</v>
      </c>
      <c r="AW8" s="5">
        <f t="shared" si="17"/>
        <v>88961.588630059618</v>
      </c>
      <c r="AX8" s="53" t="s">
        <v>104</v>
      </c>
      <c r="AY8" s="51">
        <v>24</v>
      </c>
      <c r="AZ8" s="51">
        <v>24</v>
      </c>
      <c r="BA8" s="53" t="s">
        <v>104</v>
      </c>
      <c r="BB8" s="12">
        <f t="shared" si="18"/>
        <v>46042.361367999998</v>
      </c>
      <c r="BC8" s="5">
        <f t="shared" si="19"/>
        <v>6405.74</v>
      </c>
      <c r="BD8" s="22">
        <f t="shared" si="20"/>
        <v>52448.101367999996</v>
      </c>
      <c r="BE8" s="118">
        <v>15521</v>
      </c>
      <c r="BF8" s="157">
        <f t="shared" si="21"/>
        <v>30586.171964388443</v>
      </c>
      <c r="BG8" s="118">
        <v>8596</v>
      </c>
      <c r="BH8" s="158">
        <f t="shared" si="22"/>
        <v>104594.27333238845</v>
      </c>
      <c r="BI8" s="123">
        <v>10704</v>
      </c>
      <c r="BJ8" s="124"/>
      <c r="BK8" s="125">
        <f t="shared" si="23"/>
        <v>113594.27333238845</v>
      </c>
      <c r="BM8" s="158">
        <f t="shared" si="24"/>
        <v>104594.27333238845</v>
      </c>
    </row>
    <row r="9" spans="1:65" x14ac:dyDescent="0.2">
      <c r="A9" s="54" t="s">
        <v>105</v>
      </c>
      <c r="B9" s="51">
        <v>28</v>
      </c>
      <c r="C9" s="53" t="s">
        <v>104</v>
      </c>
      <c r="D9" s="37">
        <v>4998.0200000000004</v>
      </c>
      <c r="E9" s="20">
        <v>300</v>
      </c>
      <c r="F9" s="20">
        <v>1300</v>
      </c>
      <c r="G9" s="20">
        <v>159.57</v>
      </c>
      <c r="H9" s="36">
        <v>2418.38</v>
      </c>
      <c r="I9" s="20">
        <v>2713.42</v>
      </c>
      <c r="J9" s="20">
        <v>1266.74</v>
      </c>
      <c r="K9" s="20">
        <v>3081.02</v>
      </c>
      <c r="L9" s="20">
        <v>2110.59</v>
      </c>
      <c r="M9" s="20">
        <v>2705</v>
      </c>
      <c r="N9" s="20">
        <v>2268.4499999999998</v>
      </c>
      <c r="O9" s="20">
        <v>4664.24</v>
      </c>
      <c r="P9" s="20">
        <v>1801</v>
      </c>
      <c r="Q9" s="97">
        <v>11278.19</v>
      </c>
      <c r="R9" s="35">
        <f t="shared" si="0"/>
        <v>14347.978228</v>
      </c>
      <c r="S9" s="34">
        <f t="shared" si="1"/>
        <v>55412.598228000003</v>
      </c>
      <c r="T9" s="19"/>
      <c r="U9" s="18">
        <v>0.02</v>
      </c>
      <c r="V9" s="17"/>
      <c r="W9" s="5">
        <f t="shared" si="2"/>
        <v>23321.190000000002</v>
      </c>
      <c r="X9" s="32">
        <f>1801/W9</f>
        <v>7.7225904853054236E-2</v>
      </c>
      <c r="Y9" s="4">
        <f t="shared" si="3"/>
        <v>1801</v>
      </c>
      <c r="Z9" s="4">
        <f t="shared" si="4"/>
        <v>0</v>
      </c>
      <c r="AA9" s="12"/>
      <c r="AD9" s="16">
        <f t="shared" si="5"/>
        <v>12172.374632558187</v>
      </c>
      <c r="AE9" s="16">
        <f t="shared" si="6"/>
        <v>67584.972860558191</v>
      </c>
      <c r="AG9" s="54" t="s">
        <v>105</v>
      </c>
      <c r="AH9" s="51">
        <v>28</v>
      </c>
      <c r="AI9" s="53" t="s">
        <v>104</v>
      </c>
      <c r="AJ9" s="16">
        <v>7705</v>
      </c>
      <c r="AL9" s="30">
        <f t="shared" si="7"/>
        <v>12172.374632558187</v>
      </c>
      <c r="AM9" s="30">
        <f t="shared" si="8"/>
        <v>67584.972860558191</v>
      </c>
      <c r="AN9" s="28">
        <f t="shared" si="9"/>
        <v>16172.374632558187</v>
      </c>
      <c r="AO9" s="29">
        <f t="shared" si="10"/>
        <v>71584.972860558191</v>
      </c>
      <c r="AP9" s="28">
        <f t="shared" si="11"/>
        <v>28633.989144223277</v>
      </c>
      <c r="AQ9" s="28">
        <f t="shared" si="12"/>
        <v>17896.243215139548</v>
      </c>
      <c r="AR9" s="5">
        <f t="shared" si="13"/>
        <v>21475.491858167457</v>
      </c>
      <c r="AS9" s="5">
        <f t="shared" si="14"/>
        <v>28633.989144223277</v>
      </c>
      <c r="AT9" s="27" t="s">
        <v>76</v>
      </c>
      <c r="AU9" s="5">
        <f t="shared" si="15"/>
        <v>66534.391443139553</v>
      </c>
      <c r="AV9" s="5">
        <f t="shared" si="16"/>
        <v>26946.824632558186</v>
      </c>
      <c r="AW9" s="5">
        <f t="shared" si="17"/>
        <v>93481.216075697739</v>
      </c>
      <c r="AX9" s="53" t="s">
        <v>104</v>
      </c>
      <c r="AY9" s="51">
        <v>28</v>
      </c>
      <c r="AZ9" s="51">
        <v>28</v>
      </c>
      <c r="BA9" s="53" t="s">
        <v>104</v>
      </c>
      <c r="BB9" s="12">
        <f t="shared" si="18"/>
        <v>48638.148228000005</v>
      </c>
      <c r="BC9" s="5">
        <f t="shared" si="19"/>
        <v>6774.45</v>
      </c>
      <c r="BD9" s="22">
        <f t="shared" si="20"/>
        <v>55412.598228000003</v>
      </c>
      <c r="BE9" s="118">
        <v>16172</v>
      </c>
      <c r="BF9" s="157">
        <f t="shared" si="21"/>
        <v>32213.237848071996</v>
      </c>
      <c r="BG9" s="118">
        <v>8853</v>
      </c>
      <c r="BH9" s="158">
        <f t="shared" si="22"/>
        <v>109945.836076072</v>
      </c>
      <c r="BI9" s="123">
        <v>10801</v>
      </c>
      <c r="BJ9" s="124"/>
      <c r="BK9" s="125">
        <f t="shared" si="23"/>
        <v>118945.836076072</v>
      </c>
      <c r="BM9" s="158">
        <f t="shared" si="24"/>
        <v>109945.836076072</v>
      </c>
    </row>
    <row r="10" spans="1:65" x14ac:dyDescent="0.2">
      <c r="A10" s="54" t="s">
        <v>105</v>
      </c>
      <c r="B10" s="51">
        <v>35</v>
      </c>
      <c r="C10" s="53" t="s">
        <v>104</v>
      </c>
      <c r="D10" s="37">
        <v>6247.52</v>
      </c>
      <c r="E10" s="20">
        <v>300</v>
      </c>
      <c r="F10" s="20">
        <v>1300</v>
      </c>
      <c r="G10" s="20">
        <v>189.78</v>
      </c>
      <c r="H10" s="36">
        <v>2418.38</v>
      </c>
      <c r="I10" s="20">
        <v>2713.42</v>
      </c>
      <c r="J10" s="20">
        <v>1451.68</v>
      </c>
      <c r="K10" s="20">
        <v>3081.02</v>
      </c>
      <c r="L10" s="20">
        <v>2353.12</v>
      </c>
      <c r="M10" s="20">
        <v>2963</v>
      </c>
      <c r="N10" s="20">
        <v>2484.9299999999998</v>
      </c>
      <c r="O10" s="20">
        <v>5100.57</v>
      </c>
      <c r="P10" s="20">
        <v>1969</v>
      </c>
      <c r="Q10" s="97">
        <v>12333.13</v>
      </c>
      <c r="R10" s="35">
        <f t="shared" si="0"/>
        <v>15689.999169999997</v>
      </c>
      <c r="S10" s="34">
        <f t="shared" si="1"/>
        <v>60595.549169999991</v>
      </c>
      <c r="T10" s="19"/>
      <c r="U10" s="18">
        <v>0.02</v>
      </c>
      <c r="V10" s="17"/>
      <c r="W10" s="5">
        <f t="shared" si="2"/>
        <v>25502.85</v>
      </c>
      <c r="X10" s="32">
        <f>1969/W10</f>
        <v>7.7207057250464173E-2</v>
      </c>
      <c r="Y10" s="4">
        <f t="shared" si="3"/>
        <v>1969.0000000000002</v>
      </c>
      <c r="Z10" s="4">
        <f t="shared" si="4"/>
        <v>0</v>
      </c>
      <c r="AA10" s="12"/>
      <c r="AD10" s="16">
        <f t="shared" si="5"/>
        <v>13310.903100554035</v>
      </c>
      <c r="AE10" s="16">
        <f t="shared" si="6"/>
        <v>73906.452270554029</v>
      </c>
      <c r="AG10" s="54" t="s">
        <v>105</v>
      </c>
      <c r="AH10" s="51">
        <v>35</v>
      </c>
      <c r="AI10" s="53" t="s">
        <v>104</v>
      </c>
      <c r="AJ10" s="16">
        <v>7963</v>
      </c>
      <c r="AL10" s="30">
        <f t="shared" si="7"/>
        <v>13310.903100554035</v>
      </c>
      <c r="AM10" s="30">
        <f t="shared" si="8"/>
        <v>73906.452270554029</v>
      </c>
      <c r="AN10" s="28">
        <f t="shared" si="9"/>
        <v>17310.903100554035</v>
      </c>
      <c r="AO10" s="29">
        <f t="shared" si="10"/>
        <v>77906.452270554029</v>
      </c>
      <c r="AP10" s="28">
        <f t="shared" si="11"/>
        <v>31162.580908221615</v>
      </c>
      <c r="AQ10" s="28">
        <f t="shared" si="12"/>
        <v>19476.613067638507</v>
      </c>
      <c r="AR10" s="5">
        <f t="shared" si="13"/>
        <v>23371.935681166207</v>
      </c>
      <c r="AS10" s="5">
        <f t="shared" si="14"/>
        <v>31162.580908221611</v>
      </c>
      <c r="AT10" s="27" t="s">
        <v>76</v>
      </c>
      <c r="AU10" s="5">
        <f t="shared" si="15"/>
        <v>72655.232237638498</v>
      </c>
      <c r="AV10" s="5">
        <f t="shared" si="16"/>
        <v>28727.833100554035</v>
      </c>
      <c r="AW10" s="5">
        <f t="shared" si="17"/>
        <v>101383.06533819254</v>
      </c>
      <c r="AX10" s="53" t="s">
        <v>104</v>
      </c>
      <c r="AY10" s="51">
        <v>35</v>
      </c>
      <c r="AZ10" s="51">
        <v>35</v>
      </c>
      <c r="BA10" s="53" t="s">
        <v>104</v>
      </c>
      <c r="BB10" s="12">
        <f t="shared" si="18"/>
        <v>53178.619169999991</v>
      </c>
      <c r="BC10" s="5">
        <f t="shared" si="19"/>
        <v>7416.93</v>
      </c>
      <c r="BD10" s="22">
        <f t="shared" si="20"/>
        <v>60595.549169999991</v>
      </c>
      <c r="BE10" s="118">
        <v>17311</v>
      </c>
      <c r="BF10" s="157">
        <f t="shared" si="21"/>
        <v>35057.903588258923</v>
      </c>
      <c r="BG10" s="118">
        <v>9300</v>
      </c>
      <c r="BH10" s="158">
        <f t="shared" si="22"/>
        <v>119301.45275825891</v>
      </c>
      <c r="BI10" s="123">
        <v>10969</v>
      </c>
      <c r="BJ10" s="124"/>
      <c r="BK10" s="125">
        <f t="shared" si="23"/>
        <v>128301.45275825891</v>
      </c>
      <c r="BM10" s="158">
        <f t="shared" si="24"/>
        <v>119301.45275825891</v>
      </c>
    </row>
    <row r="11" spans="1:65" x14ac:dyDescent="0.2">
      <c r="A11" s="54" t="s">
        <v>105</v>
      </c>
      <c r="B11" s="51">
        <v>36</v>
      </c>
      <c r="C11" s="53" t="s">
        <v>104</v>
      </c>
      <c r="D11" s="37">
        <v>6426.02</v>
      </c>
      <c r="E11" s="20">
        <v>300</v>
      </c>
      <c r="F11" s="20">
        <v>1300</v>
      </c>
      <c r="G11" s="20">
        <v>194.1</v>
      </c>
      <c r="H11" s="36">
        <v>2418.38</v>
      </c>
      <c r="I11" s="20">
        <v>2713.42</v>
      </c>
      <c r="J11" s="20">
        <v>1478.09</v>
      </c>
      <c r="K11" s="20">
        <v>3081.02</v>
      </c>
      <c r="L11" s="20">
        <v>2387.77</v>
      </c>
      <c r="M11" s="20">
        <v>3000</v>
      </c>
      <c r="N11" s="20">
        <v>2515.85</v>
      </c>
      <c r="O11" s="20">
        <v>5162.93</v>
      </c>
      <c r="P11" s="20">
        <v>1993</v>
      </c>
      <c r="Q11" s="97">
        <v>12484.13</v>
      </c>
      <c r="R11" s="35">
        <f t="shared" si="0"/>
        <v>15881.875673999999</v>
      </c>
      <c r="S11" s="34">
        <f t="shared" si="1"/>
        <v>61336.585674000002</v>
      </c>
      <c r="T11" s="19"/>
      <c r="U11" s="18">
        <v>0.02</v>
      </c>
      <c r="V11" s="17"/>
      <c r="W11" s="5">
        <f t="shared" si="2"/>
        <v>25814.649999999998</v>
      </c>
      <c r="X11" s="32">
        <f>1993/W11</f>
        <v>7.7204223183347451E-2</v>
      </c>
      <c r="Y11" s="4">
        <f t="shared" si="3"/>
        <v>1993</v>
      </c>
      <c r="Z11" s="4">
        <f t="shared" si="4"/>
        <v>0</v>
      </c>
      <c r="AA11" s="12"/>
      <c r="AD11" s="16">
        <f t="shared" si="5"/>
        <v>13473.685107381705</v>
      </c>
      <c r="AE11" s="16">
        <f t="shared" si="6"/>
        <v>74810.270781381711</v>
      </c>
      <c r="AG11" s="54" t="s">
        <v>105</v>
      </c>
      <c r="AH11" s="51">
        <v>36</v>
      </c>
      <c r="AI11" s="53" t="s">
        <v>104</v>
      </c>
      <c r="AJ11" s="16">
        <v>8000</v>
      </c>
      <c r="AL11" s="30">
        <f t="shared" si="7"/>
        <v>13473.685107381705</v>
      </c>
      <c r="AM11" s="30">
        <f t="shared" si="8"/>
        <v>74810.270781381711</v>
      </c>
      <c r="AN11" s="28">
        <f t="shared" si="9"/>
        <v>17473.685107381705</v>
      </c>
      <c r="AO11" s="29">
        <f t="shared" si="10"/>
        <v>78810.270781381711</v>
      </c>
      <c r="AP11" s="28">
        <f t="shared" si="11"/>
        <v>31524.108312552686</v>
      </c>
      <c r="AQ11" s="28">
        <f t="shared" si="12"/>
        <v>19702.567695345428</v>
      </c>
      <c r="AR11" s="5">
        <f t="shared" si="13"/>
        <v>23643.081234414509</v>
      </c>
      <c r="AS11" s="5">
        <f t="shared" si="14"/>
        <v>31524.108312552682</v>
      </c>
      <c r="AT11" s="27" t="s">
        <v>76</v>
      </c>
      <c r="AU11" s="5">
        <f t="shared" si="15"/>
        <v>73530.30336934542</v>
      </c>
      <c r="AV11" s="5">
        <f t="shared" si="16"/>
        <v>28982.535107381707</v>
      </c>
      <c r="AW11" s="5">
        <f t="shared" si="17"/>
        <v>102512.83847672713</v>
      </c>
      <c r="AX11" s="53" t="s">
        <v>104</v>
      </c>
      <c r="AY11" s="51">
        <v>36</v>
      </c>
      <c r="AZ11" s="51">
        <v>36</v>
      </c>
      <c r="BA11" s="53" t="s">
        <v>104</v>
      </c>
      <c r="BB11" s="12">
        <f t="shared" si="18"/>
        <v>53827.735673999996</v>
      </c>
      <c r="BC11" s="5">
        <f t="shared" si="19"/>
        <v>7508.85</v>
      </c>
      <c r="BD11" s="22">
        <f t="shared" si="20"/>
        <v>61336.585673999994</v>
      </c>
      <c r="BE11" s="118">
        <v>17474</v>
      </c>
      <c r="BF11" s="157">
        <f t="shared" si="21"/>
        <v>35464.621918944744</v>
      </c>
      <c r="BG11" s="118">
        <v>9364</v>
      </c>
      <c r="BH11" s="158">
        <f t="shared" si="22"/>
        <v>120639.20759294475</v>
      </c>
      <c r="BI11" s="123">
        <v>10993</v>
      </c>
      <c r="BJ11" s="124"/>
      <c r="BK11" s="125">
        <f t="shared" si="23"/>
        <v>129639.20759294475</v>
      </c>
      <c r="BM11" s="158">
        <f t="shared" si="24"/>
        <v>120639.20759294475</v>
      </c>
    </row>
    <row r="12" spans="1:65" x14ac:dyDescent="0.2">
      <c r="A12" s="54" t="s">
        <v>105</v>
      </c>
      <c r="B12" s="51">
        <v>40</v>
      </c>
      <c r="C12" s="53" t="s">
        <v>104</v>
      </c>
      <c r="D12" s="37">
        <v>7140.03</v>
      </c>
      <c r="E12" s="20">
        <v>300</v>
      </c>
      <c r="F12" s="20">
        <v>1300</v>
      </c>
      <c r="G12" s="20">
        <v>211.37</v>
      </c>
      <c r="H12" s="36">
        <v>2902.06</v>
      </c>
      <c r="I12" s="20">
        <v>2713.42</v>
      </c>
      <c r="J12" s="20">
        <v>1641.81</v>
      </c>
      <c r="K12" s="20">
        <v>3081.02</v>
      </c>
      <c r="L12" s="20">
        <v>2616.37</v>
      </c>
      <c r="M12" s="20">
        <v>3243</v>
      </c>
      <c r="N12" s="20">
        <v>2719.66</v>
      </c>
      <c r="O12" s="20">
        <v>5573.75</v>
      </c>
      <c r="P12" s="20">
        <v>2152</v>
      </c>
      <c r="Q12" s="97">
        <v>13477.42</v>
      </c>
      <c r="R12" s="35">
        <f t="shared" si="0"/>
        <v>17145.725353999998</v>
      </c>
      <c r="S12" s="34">
        <f t="shared" si="1"/>
        <v>66217.635353999998</v>
      </c>
      <c r="T12" s="19"/>
      <c r="U12" s="18">
        <v>0.02</v>
      </c>
      <c r="V12" s="17"/>
      <c r="W12" s="5">
        <f t="shared" si="2"/>
        <v>27868.739999999998</v>
      </c>
      <c r="X12" s="32">
        <f>2152/W12</f>
        <v>7.7219135131333536E-2</v>
      </c>
      <c r="Y12" s="4">
        <f t="shared" si="3"/>
        <v>2152</v>
      </c>
      <c r="Z12" s="4">
        <f t="shared" si="4"/>
        <v>0</v>
      </c>
      <c r="AA12" s="12"/>
      <c r="AD12" s="16">
        <f t="shared" si="5"/>
        <v>14545.895528929243</v>
      </c>
      <c r="AE12" s="16">
        <f t="shared" si="6"/>
        <v>80763.530882929248</v>
      </c>
      <c r="AG12" s="54" t="s">
        <v>105</v>
      </c>
      <c r="AH12" s="51">
        <v>40</v>
      </c>
      <c r="AI12" s="53" t="s">
        <v>104</v>
      </c>
      <c r="AJ12" s="16">
        <v>8243</v>
      </c>
      <c r="AL12" s="30">
        <f t="shared" si="7"/>
        <v>14545.895528929243</v>
      </c>
      <c r="AM12" s="30">
        <f t="shared" si="8"/>
        <v>80763.530882929248</v>
      </c>
      <c r="AN12" s="28">
        <f t="shared" si="9"/>
        <v>18545.895528929243</v>
      </c>
      <c r="AO12" s="29">
        <f t="shared" si="10"/>
        <v>84763.530882929248</v>
      </c>
      <c r="AP12" s="28">
        <f t="shared" si="11"/>
        <v>33905.412353171698</v>
      </c>
      <c r="AQ12" s="28">
        <f t="shared" si="12"/>
        <v>21190.882720732308</v>
      </c>
      <c r="AR12" s="5">
        <f t="shared" si="13"/>
        <v>25429.059264878772</v>
      </c>
      <c r="AS12" s="5">
        <f t="shared" si="14"/>
        <v>33905.41235317169</v>
      </c>
      <c r="AT12" s="27" t="s">
        <v>76</v>
      </c>
      <c r="AU12" s="5">
        <f t="shared" si="15"/>
        <v>79293.858074732299</v>
      </c>
      <c r="AV12" s="5">
        <f t="shared" si="16"/>
        <v>30660.555528929242</v>
      </c>
      <c r="AW12" s="5">
        <f t="shared" si="17"/>
        <v>109954.41360366154</v>
      </c>
      <c r="AX12" s="53" t="s">
        <v>104</v>
      </c>
      <c r="AY12" s="51">
        <v>40</v>
      </c>
      <c r="AZ12" s="51">
        <v>40</v>
      </c>
      <c r="BA12" s="53" t="s">
        <v>104</v>
      </c>
      <c r="BB12" s="12">
        <f t="shared" si="18"/>
        <v>58102.975353999995</v>
      </c>
      <c r="BC12" s="5">
        <f t="shared" si="19"/>
        <v>8114.66</v>
      </c>
      <c r="BD12" s="22">
        <f t="shared" si="20"/>
        <v>66217.635353999998</v>
      </c>
      <c r="BE12" s="118">
        <v>18546</v>
      </c>
      <c r="BF12" s="157">
        <f t="shared" si="21"/>
        <v>38143.588969998564</v>
      </c>
      <c r="BG12" s="118">
        <v>9786</v>
      </c>
      <c r="BH12" s="158">
        <f t="shared" si="22"/>
        <v>129450.22432399855</v>
      </c>
      <c r="BI12" s="123">
        <v>11152</v>
      </c>
      <c r="BJ12" s="124"/>
      <c r="BK12" s="125">
        <f t="shared" si="23"/>
        <v>138450.22432399855</v>
      </c>
      <c r="BM12" s="158">
        <f t="shared" si="24"/>
        <v>129450.22432399855</v>
      </c>
    </row>
    <row r="13" spans="1:65" x14ac:dyDescent="0.2">
      <c r="A13" s="54" t="s">
        <v>105</v>
      </c>
      <c r="B13" s="51">
        <v>44</v>
      </c>
      <c r="C13" s="53" t="s">
        <v>104</v>
      </c>
      <c r="D13" s="37">
        <v>7854.03</v>
      </c>
      <c r="E13" s="20">
        <v>300</v>
      </c>
      <c r="F13" s="20">
        <v>1300</v>
      </c>
      <c r="G13" s="20">
        <v>228.63</v>
      </c>
      <c r="H13" s="36">
        <v>2902.06</v>
      </c>
      <c r="I13" s="20">
        <v>2713.42</v>
      </c>
      <c r="J13" s="20">
        <v>1747.49</v>
      </c>
      <c r="K13" s="20">
        <v>3081.02</v>
      </c>
      <c r="L13" s="20">
        <v>2754.95</v>
      </c>
      <c r="M13" s="20">
        <v>3390</v>
      </c>
      <c r="N13" s="20">
        <v>2843.36</v>
      </c>
      <c r="O13" s="20">
        <v>5822.99</v>
      </c>
      <c r="P13" s="20">
        <v>2248</v>
      </c>
      <c r="Q13" s="97">
        <v>14080.15</v>
      </c>
      <c r="R13" s="35">
        <f t="shared" si="0"/>
        <v>17912.375339999999</v>
      </c>
      <c r="S13" s="34">
        <f t="shared" si="1"/>
        <v>69178.475340000005</v>
      </c>
      <c r="T13" s="19"/>
      <c r="U13" s="18">
        <v>0.02</v>
      </c>
      <c r="V13" s="17"/>
      <c r="W13" s="5">
        <f t="shared" si="2"/>
        <v>29114.959999999999</v>
      </c>
      <c r="X13" s="32">
        <f>2248/W13</f>
        <v>7.7211165668783333E-2</v>
      </c>
      <c r="Y13" s="4">
        <f t="shared" si="3"/>
        <v>2248</v>
      </c>
      <c r="Z13" s="4">
        <f t="shared" si="4"/>
        <v>0</v>
      </c>
      <c r="AA13" s="12"/>
      <c r="AD13" s="16">
        <f t="shared" si="5"/>
        <v>15196.297327241582</v>
      </c>
      <c r="AE13" s="16">
        <f t="shared" si="6"/>
        <v>84374.772667241588</v>
      </c>
      <c r="AG13" s="54" t="s">
        <v>105</v>
      </c>
      <c r="AH13" s="51">
        <v>44</v>
      </c>
      <c r="AI13" s="53" t="s">
        <v>104</v>
      </c>
      <c r="AJ13" s="16">
        <v>8390</v>
      </c>
      <c r="AL13" s="30">
        <f t="shared" si="7"/>
        <v>15196.297327241582</v>
      </c>
      <c r="AM13" s="30">
        <f t="shared" si="8"/>
        <v>84374.772667241588</v>
      </c>
      <c r="AN13" s="28">
        <f t="shared" si="9"/>
        <v>19196.297327241584</v>
      </c>
      <c r="AO13" s="29">
        <f t="shared" si="10"/>
        <v>88374.772667241588</v>
      </c>
      <c r="AP13" s="28">
        <f t="shared" si="11"/>
        <v>35349.909066896638</v>
      </c>
      <c r="AQ13" s="28">
        <f t="shared" si="12"/>
        <v>22093.693166810393</v>
      </c>
      <c r="AR13" s="5">
        <f t="shared" si="13"/>
        <v>26512.431800172471</v>
      </c>
      <c r="AS13" s="5">
        <f t="shared" si="14"/>
        <v>35349.909066896631</v>
      </c>
      <c r="AT13" s="27" t="s">
        <v>76</v>
      </c>
      <c r="AU13" s="5">
        <f t="shared" si="15"/>
        <v>82790.808506810397</v>
      </c>
      <c r="AV13" s="5">
        <f t="shared" si="16"/>
        <v>31677.657327241584</v>
      </c>
      <c r="AW13" s="5">
        <f t="shared" si="17"/>
        <v>114468.46583405198</v>
      </c>
      <c r="AX13" s="53" t="s">
        <v>104</v>
      </c>
      <c r="AY13" s="51">
        <v>44</v>
      </c>
      <c r="AZ13" s="51">
        <v>44</v>
      </c>
      <c r="BA13" s="53" t="s">
        <v>104</v>
      </c>
      <c r="BB13" s="12">
        <f t="shared" si="18"/>
        <v>60697.115339999997</v>
      </c>
      <c r="BC13" s="5">
        <f t="shared" si="19"/>
        <v>8481.36</v>
      </c>
      <c r="BD13" s="22">
        <f t="shared" si="20"/>
        <v>69178.475340000005</v>
      </c>
      <c r="BE13" s="118">
        <v>19196</v>
      </c>
      <c r="BF13" s="157">
        <f t="shared" si="21"/>
        <v>39768.647776188933</v>
      </c>
      <c r="BG13" s="118">
        <v>10041</v>
      </c>
      <c r="BH13" s="158">
        <f t="shared" si="22"/>
        <v>134794.12311618894</v>
      </c>
      <c r="BI13" s="123">
        <v>11248</v>
      </c>
      <c r="BJ13" s="124"/>
      <c r="BK13" s="125">
        <f t="shared" si="23"/>
        <v>143794.12311618894</v>
      </c>
      <c r="BM13" s="158">
        <f t="shared" si="24"/>
        <v>134794.12311618894</v>
      </c>
    </row>
    <row r="14" spans="1:65" ht="15" x14ac:dyDescent="0.25">
      <c r="A14" s="15"/>
      <c r="B14" s="15"/>
      <c r="C14" s="15"/>
      <c r="D14" s="23"/>
      <c r="E14" s="22"/>
      <c r="F14" s="22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96">
        <v>0</v>
      </c>
      <c r="R14" s="35"/>
      <c r="S14" s="34"/>
      <c r="T14" s="19"/>
      <c r="U14" s="18"/>
      <c r="V14" s="17"/>
      <c r="W14" s="5"/>
      <c r="X14" s="32"/>
      <c r="Z14" s="4"/>
      <c r="AA14" s="12"/>
      <c r="AD14" s="16"/>
      <c r="AE14" s="16"/>
      <c r="AG14" s="15"/>
      <c r="AH14" s="15"/>
      <c r="AI14" s="15"/>
      <c r="AJ14" s="16"/>
      <c r="AL14" s="30">
        <f t="shared" si="7"/>
        <v>0</v>
      </c>
      <c r="AM14" s="30">
        <f t="shared" si="8"/>
        <v>0</v>
      </c>
      <c r="AN14" s="28">
        <v>0</v>
      </c>
      <c r="AO14" s="29">
        <v>0</v>
      </c>
      <c r="AP14" s="28">
        <v>0</v>
      </c>
      <c r="AQ14" s="28">
        <v>0</v>
      </c>
      <c r="AR14" s="5">
        <v>0</v>
      </c>
      <c r="AS14" s="5">
        <v>0</v>
      </c>
      <c r="AT14" s="27" t="s">
        <v>76</v>
      </c>
      <c r="AU14" s="5">
        <f t="shared" si="15"/>
        <v>0</v>
      </c>
      <c r="AV14" s="5">
        <f t="shared" si="16"/>
        <v>4000</v>
      </c>
      <c r="AW14" s="5">
        <f t="shared" si="17"/>
        <v>4000</v>
      </c>
      <c r="AX14" s="15"/>
      <c r="AY14" s="15"/>
      <c r="AZ14" s="15"/>
      <c r="BA14" s="15"/>
      <c r="BB14" s="12"/>
      <c r="BC14" s="5"/>
      <c r="BD14" s="22"/>
      <c r="BE14" s="118"/>
      <c r="BF14" s="157"/>
      <c r="BG14" s="118"/>
      <c r="BH14" s="158"/>
      <c r="BI14" s="123"/>
      <c r="BJ14" s="124"/>
      <c r="BK14" s="125"/>
      <c r="BM14" s="158"/>
    </row>
    <row r="15" spans="1:65" x14ac:dyDescent="0.2">
      <c r="A15" s="43" t="s">
        <v>103</v>
      </c>
      <c r="B15" s="42">
        <v>30</v>
      </c>
      <c r="C15" s="52" t="s">
        <v>102</v>
      </c>
      <c r="D15" s="89">
        <v>5948.4500000000007</v>
      </c>
      <c r="E15" s="91">
        <v>300</v>
      </c>
      <c r="F15" s="91">
        <v>1300</v>
      </c>
      <c r="G15" s="91">
        <v>182.55</v>
      </c>
      <c r="H15" s="92">
        <v>2418.38</v>
      </c>
      <c r="I15" s="91">
        <v>2713.42</v>
      </c>
      <c r="J15" s="91">
        <v>1407.41</v>
      </c>
      <c r="K15" s="91">
        <v>3081.02</v>
      </c>
      <c r="L15" s="91">
        <v>2295.0700000000002</v>
      </c>
      <c r="M15" s="91">
        <v>2901</v>
      </c>
      <c r="N15" s="91">
        <v>2433.11</v>
      </c>
      <c r="O15" s="91">
        <v>4996.08</v>
      </c>
      <c r="P15" s="91">
        <v>1928</v>
      </c>
      <c r="Q15" s="95">
        <v>12080.44</v>
      </c>
      <c r="R15" s="93">
        <f t="shared" ref="R15:R22" si="25">SUM(D15:Q15)*$R$1</f>
        <v>15368.334541999999</v>
      </c>
      <c r="S15" s="94">
        <f t="shared" ref="S15:S22" si="26">SUM(D15:R15)</f>
        <v>59353.264541999997</v>
      </c>
      <c r="T15" s="19"/>
      <c r="U15" s="18">
        <v>0.02</v>
      </c>
      <c r="V15" s="17"/>
      <c r="W15" s="5">
        <f t="shared" ref="W15:W22" si="27">+D15+E15+F15+G15+H15+I15+J15+K15+L15+M15+N15</f>
        <v>24980.41</v>
      </c>
      <c r="X15" s="32">
        <v>7.7222496011493585E-2</v>
      </c>
      <c r="Y15" s="4">
        <f t="shared" ref="Y15:Y22" si="28">+W15*X15</f>
        <v>1929.0496115904746</v>
      </c>
      <c r="Z15" s="4">
        <f t="shared" ref="Z15:Z22" si="29">+P15-Y15</f>
        <v>-1.0496115904745693</v>
      </c>
      <c r="AA15" s="12">
        <f>+D15+E15+F15+G15+H15+I15+J15+K15+L15+O15+R15+Q15</f>
        <v>52091.154541999997</v>
      </c>
      <c r="AB15">
        <f>+AA15*0.173</f>
        <v>9011.7697357659981</v>
      </c>
      <c r="AC15" s="12">
        <f>+AA15-AB15</f>
        <v>43079.384806233997</v>
      </c>
      <c r="AD15" s="16">
        <f t="shared" ref="AD15:AD22" si="30">+R15*$AD$2</f>
        <v>13038.012920778216</v>
      </c>
      <c r="AE15" s="16">
        <f t="shared" ref="AE15:AE22" si="31">+S15+AD15</f>
        <v>72391.277462778206</v>
      </c>
      <c r="AG15" s="43" t="s">
        <v>103</v>
      </c>
      <c r="AH15" s="42">
        <v>30</v>
      </c>
      <c r="AI15" s="52" t="s">
        <v>102</v>
      </c>
      <c r="AJ15" s="16">
        <v>7901</v>
      </c>
      <c r="AL15" s="30">
        <f t="shared" si="7"/>
        <v>13038.012920778216</v>
      </c>
      <c r="AM15" s="30">
        <f t="shared" si="8"/>
        <v>72391.277462778206</v>
      </c>
      <c r="AN15" s="28">
        <f t="shared" ref="AN15:AN46" si="32">+AL15+4000</f>
        <v>17038.012920778216</v>
      </c>
      <c r="AO15" s="29">
        <f t="shared" ref="AO15:AO46" si="33">+S15+AN15</f>
        <v>76391.277462778206</v>
      </c>
      <c r="AP15" s="28">
        <f t="shared" ref="AP15:AP46" si="34">+AO15*$AP$5</f>
        <v>30556.510985111283</v>
      </c>
      <c r="AQ15" s="28">
        <f t="shared" ref="AQ15:AQ46" si="35">+R15*$AQ$2+1000</f>
        <v>19097.819365694555</v>
      </c>
      <c r="AR15" s="5">
        <f t="shared" ref="AR15:AR46" si="36">+R15*$AR$2+$AR$1</f>
        <v>22917.383238833463</v>
      </c>
      <c r="AS15" s="5">
        <f t="shared" ref="AS15:AS46" si="37">+R15*$AS$2+$AS$1</f>
        <v>30556.510985111287</v>
      </c>
      <c r="AT15" s="27" t="s">
        <v>76</v>
      </c>
      <c r="AU15" s="5">
        <f t="shared" si="15"/>
        <v>71188.973907694555</v>
      </c>
      <c r="AV15" s="5">
        <f t="shared" si="16"/>
        <v>28300.122920778216</v>
      </c>
      <c r="AW15" s="5">
        <f t="shared" si="17"/>
        <v>99489.096828472771</v>
      </c>
      <c r="AX15" s="52" t="s">
        <v>102</v>
      </c>
      <c r="AY15" s="42">
        <v>30</v>
      </c>
      <c r="AZ15" s="42">
        <v>30</v>
      </c>
      <c r="BA15" s="52" t="s">
        <v>102</v>
      </c>
      <c r="BB15" s="12">
        <f t="shared" ref="BB15:BB22" si="38">+D15+E15+F15+G15+H15+I15+J15+K15+L15+O15+Q15+R15</f>
        <v>52091.154541999997</v>
      </c>
      <c r="BC15" s="5">
        <f t="shared" ref="BC15:BC22" si="39">+M15+N15+P15</f>
        <v>7262.1100000000006</v>
      </c>
      <c r="BD15" s="22">
        <f t="shared" ref="BD15:BD22" si="40">+BB15+BC15</f>
        <v>59353.264541999997</v>
      </c>
      <c r="BE15" s="118">
        <v>17038</v>
      </c>
      <c r="BF15" s="157">
        <f t="shared" si="21"/>
        <v>34376.074923396278</v>
      </c>
      <c r="BG15" s="118">
        <v>9193</v>
      </c>
      <c r="BH15" s="158">
        <f t="shared" si="22"/>
        <v>117059.33946539628</v>
      </c>
      <c r="BI15" s="123">
        <v>10928</v>
      </c>
      <c r="BJ15" s="124"/>
      <c r="BK15" s="125">
        <f t="shared" si="23"/>
        <v>126059.33946539628</v>
      </c>
      <c r="BM15" s="158">
        <f t="shared" si="24"/>
        <v>117059.33946539628</v>
      </c>
    </row>
    <row r="16" spans="1:65" x14ac:dyDescent="0.2">
      <c r="A16" s="31" t="s">
        <v>101</v>
      </c>
      <c r="B16" s="44">
        <v>15</v>
      </c>
      <c r="C16" s="50" t="s">
        <v>100</v>
      </c>
      <c r="D16" s="37">
        <v>2974.23</v>
      </c>
      <c r="E16" s="23">
        <v>300</v>
      </c>
      <c r="F16" s="23">
        <v>1300</v>
      </c>
      <c r="G16" s="20">
        <v>110.62</v>
      </c>
      <c r="H16" s="36">
        <v>2418.38</v>
      </c>
      <c r="I16" s="20">
        <v>2713.42</v>
      </c>
      <c r="J16" s="20">
        <v>967.21</v>
      </c>
      <c r="K16" s="20">
        <v>1540.51</v>
      </c>
      <c r="L16" s="20">
        <v>1717.77</v>
      </c>
      <c r="M16" s="20">
        <v>1451</v>
      </c>
      <c r="N16" s="20">
        <v>1752.2</v>
      </c>
      <c r="O16" s="20">
        <v>3449.07</v>
      </c>
      <c r="P16" s="20">
        <v>1136</v>
      </c>
      <c r="Q16" s="97">
        <v>8265.82</v>
      </c>
      <c r="R16" s="35">
        <f t="shared" si="25"/>
        <v>10515.622761999999</v>
      </c>
      <c r="S16" s="34">
        <f t="shared" si="26"/>
        <v>40611.852761999995</v>
      </c>
      <c r="T16" s="19"/>
      <c r="U16" s="18">
        <v>0.02</v>
      </c>
      <c r="V16" s="17"/>
      <c r="W16" s="5">
        <f t="shared" si="27"/>
        <v>17245.34</v>
      </c>
      <c r="X16" s="32">
        <v>6.5524609393215805E-2</v>
      </c>
      <c r="Y16" s="4">
        <f t="shared" si="28"/>
        <v>1129.9941673532003</v>
      </c>
      <c r="Z16" s="40">
        <f t="shared" si="29"/>
        <v>6.0058326467997176</v>
      </c>
      <c r="AA16" s="12">
        <f>+M15+N15+P15</f>
        <v>7262.1100000000006</v>
      </c>
      <c r="AC16" s="12">
        <f>+AA16</f>
        <v>7262.1100000000006</v>
      </c>
      <c r="AD16" s="16">
        <f t="shared" si="30"/>
        <v>8921.1244761947546</v>
      </c>
      <c r="AE16" s="16">
        <f t="shared" si="31"/>
        <v>49532.977238194748</v>
      </c>
      <c r="AG16" s="31" t="s">
        <v>101</v>
      </c>
      <c r="AH16" s="44">
        <v>15</v>
      </c>
      <c r="AI16" s="50" t="s">
        <v>100</v>
      </c>
      <c r="AJ16" s="16">
        <v>6451</v>
      </c>
      <c r="AL16" s="30">
        <f t="shared" si="7"/>
        <v>8921.1244761947546</v>
      </c>
      <c r="AM16" s="30">
        <f t="shared" si="8"/>
        <v>49532.977238194748</v>
      </c>
      <c r="AN16" s="28">
        <f t="shared" si="32"/>
        <v>12921.124476194755</v>
      </c>
      <c r="AO16" s="29">
        <f t="shared" si="33"/>
        <v>53532.977238194748</v>
      </c>
      <c r="AP16" s="28">
        <f t="shared" si="34"/>
        <v>21413.190895277901</v>
      </c>
      <c r="AQ16" s="28">
        <f t="shared" si="35"/>
        <v>13383.244309548689</v>
      </c>
      <c r="AR16" s="5">
        <f t="shared" si="36"/>
        <v>16059.893171458425</v>
      </c>
      <c r="AS16" s="5">
        <f t="shared" si="37"/>
        <v>21413.190895277901</v>
      </c>
      <c r="AT16" s="27" t="s">
        <v>76</v>
      </c>
      <c r="AU16" s="5">
        <f t="shared" si="15"/>
        <v>49655.897071548687</v>
      </c>
      <c r="AV16" s="5">
        <f t="shared" si="16"/>
        <v>21260.324476194754</v>
      </c>
      <c r="AW16" s="5">
        <f t="shared" si="17"/>
        <v>70916.221547743437</v>
      </c>
      <c r="AX16" s="50" t="s">
        <v>100</v>
      </c>
      <c r="AY16" s="44">
        <v>15</v>
      </c>
      <c r="AZ16" s="44">
        <v>15</v>
      </c>
      <c r="BA16" s="50" t="s">
        <v>100</v>
      </c>
      <c r="BB16" s="12">
        <f t="shared" si="38"/>
        <v>36272.652761999998</v>
      </c>
      <c r="BC16" s="5">
        <f t="shared" si="39"/>
        <v>4339.2</v>
      </c>
      <c r="BD16" s="22">
        <f t="shared" si="40"/>
        <v>40611.852761999995</v>
      </c>
      <c r="BE16" s="118">
        <v>12921</v>
      </c>
      <c r="BF16" s="157">
        <f t="shared" si="21"/>
        <v>24089.839801763166</v>
      </c>
      <c r="BG16" s="118">
        <v>7057</v>
      </c>
      <c r="BH16" s="158">
        <f t="shared" si="22"/>
        <v>83228.692563763165</v>
      </c>
      <c r="BI16" s="123">
        <v>10136</v>
      </c>
      <c r="BJ16" s="124"/>
      <c r="BK16" s="125">
        <f t="shared" si="23"/>
        <v>92228.692563763165</v>
      </c>
      <c r="BM16" s="158">
        <f t="shared" si="24"/>
        <v>83228.692563763165</v>
      </c>
    </row>
    <row r="17" spans="1:65" x14ac:dyDescent="0.2">
      <c r="A17" s="31" t="s">
        <v>101</v>
      </c>
      <c r="B17" s="51">
        <v>24</v>
      </c>
      <c r="C17" s="50" t="s">
        <v>100</v>
      </c>
      <c r="D17" s="37">
        <v>4758.76</v>
      </c>
      <c r="E17" s="23">
        <v>300</v>
      </c>
      <c r="F17" s="23">
        <v>1300</v>
      </c>
      <c r="G17" s="20">
        <v>153.78</v>
      </c>
      <c r="H17" s="36">
        <v>2418.38</v>
      </c>
      <c r="I17" s="20">
        <v>2713.42</v>
      </c>
      <c r="J17" s="20">
        <v>1231.33</v>
      </c>
      <c r="K17" s="20">
        <v>3081.02</v>
      </c>
      <c r="L17" s="20">
        <v>2064.15</v>
      </c>
      <c r="M17" s="20">
        <v>2655</v>
      </c>
      <c r="N17" s="20">
        <v>2226.9899999999998</v>
      </c>
      <c r="O17" s="20">
        <v>4580.57</v>
      </c>
      <c r="P17" s="20">
        <v>1768</v>
      </c>
      <c r="Q17" s="97">
        <v>11075.77</v>
      </c>
      <c r="R17" s="35">
        <f t="shared" si="25"/>
        <v>14090.313198</v>
      </c>
      <c r="S17" s="34">
        <f t="shared" si="26"/>
        <v>54417.483198000002</v>
      </c>
      <c r="T17" s="19"/>
      <c r="U17" s="18">
        <v>0.02</v>
      </c>
      <c r="V17" s="17"/>
      <c r="W17" s="5">
        <f t="shared" si="27"/>
        <v>22902.83</v>
      </c>
      <c r="X17" s="32">
        <v>7.7195064770917768E-2</v>
      </c>
      <c r="Y17" s="4">
        <f t="shared" si="28"/>
        <v>1767.9854452873187</v>
      </c>
      <c r="Z17" s="4">
        <f t="shared" si="29"/>
        <v>1.4554712681274395E-2</v>
      </c>
      <c r="AA17" s="12">
        <f>SUM(AA15:AA16)</f>
        <v>59353.264541999997</v>
      </c>
      <c r="AC17" s="12">
        <f>SUM(AC15:AC16)</f>
        <v>50341.494806233997</v>
      </c>
      <c r="AD17" s="16">
        <f t="shared" si="30"/>
        <v>11953.779704058177</v>
      </c>
      <c r="AE17" s="16">
        <f t="shared" si="31"/>
        <v>66371.262902058181</v>
      </c>
      <c r="AG17" s="31" t="s">
        <v>101</v>
      </c>
      <c r="AH17" s="51">
        <v>24</v>
      </c>
      <c r="AI17" s="50" t="s">
        <v>100</v>
      </c>
      <c r="AJ17" s="16">
        <v>7655</v>
      </c>
      <c r="AL17" s="30">
        <f t="shared" si="7"/>
        <v>11953.779704058177</v>
      </c>
      <c r="AM17" s="30">
        <f t="shared" si="8"/>
        <v>66371.262902058181</v>
      </c>
      <c r="AN17" s="28">
        <f t="shared" si="32"/>
        <v>15953.779704058177</v>
      </c>
      <c r="AO17" s="29">
        <f t="shared" si="33"/>
        <v>70371.262902058181</v>
      </c>
      <c r="AP17" s="28">
        <f t="shared" si="34"/>
        <v>28148.505160823275</v>
      </c>
      <c r="AQ17" s="28">
        <f t="shared" si="35"/>
        <v>17592.815725514545</v>
      </c>
      <c r="AR17" s="5">
        <f t="shared" si="36"/>
        <v>21111.378870617453</v>
      </c>
      <c r="AS17" s="5">
        <f t="shared" si="37"/>
        <v>28148.505160823272</v>
      </c>
      <c r="AT17" s="27" t="s">
        <v>76</v>
      </c>
      <c r="AU17" s="5">
        <f t="shared" si="15"/>
        <v>65360.308923514545</v>
      </c>
      <c r="AV17" s="5">
        <f t="shared" si="16"/>
        <v>26603.769704058177</v>
      </c>
      <c r="AW17" s="5">
        <f t="shared" si="17"/>
        <v>91964.078627572715</v>
      </c>
      <c r="AX17" s="50" t="s">
        <v>100</v>
      </c>
      <c r="AY17" s="51">
        <v>24</v>
      </c>
      <c r="AZ17" s="51">
        <v>24</v>
      </c>
      <c r="BA17" s="50" t="s">
        <v>100</v>
      </c>
      <c r="BB17" s="12">
        <f t="shared" si="38"/>
        <v>47767.493197999996</v>
      </c>
      <c r="BC17" s="5">
        <f t="shared" si="39"/>
        <v>6649.99</v>
      </c>
      <c r="BD17" s="22">
        <f t="shared" si="40"/>
        <v>54417.483197999994</v>
      </c>
      <c r="BE17" s="118">
        <v>15954</v>
      </c>
      <c r="BF17" s="157">
        <f t="shared" si="21"/>
        <v>31667.068365654755</v>
      </c>
      <c r="BG17" s="118">
        <v>8766</v>
      </c>
      <c r="BH17" s="158">
        <f t="shared" si="22"/>
        <v>108149.55156365476</v>
      </c>
      <c r="BI17" s="123">
        <v>10768</v>
      </c>
      <c r="BJ17" s="124"/>
      <c r="BK17" s="125">
        <f t="shared" si="23"/>
        <v>117149.55156365476</v>
      </c>
      <c r="BM17" s="158">
        <f t="shared" si="24"/>
        <v>108149.55156365476</v>
      </c>
    </row>
    <row r="18" spans="1:65" x14ac:dyDescent="0.2">
      <c r="A18" s="31" t="s">
        <v>101</v>
      </c>
      <c r="B18" s="51">
        <v>28</v>
      </c>
      <c r="C18" s="50" t="s">
        <v>100</v>
      </c>
      <c r="D18" s="37">
        <v>5551.89</v>
      </c>
      <c r="E18" s="23">
        <v>300</v>
      </c>
      <c r="F18" s="23">
        <v>1300</v>
      </c>
      <c r="G18" s="20">
        <v>172.96</v>
      </c>
      <c r="H18" s="36">
        <v>2418.38</v>
      </c>
      <c r="I18" s="20">
        <v>2713.42</v>
      </c>
      <c r="J18" s="20">
        <v>1348.72</v>
      </c>
      <c r="K18" s="20">
        <v>3081.02</v>
      </c>
      <c r="L18" s="20">
        <v>2218.1</v>
      </c>
      <c r="M18" s="20">
        <v>2819</v>
      </c>
      <c r="N18" s="20">
        <v>2364.41</v>
      </c>
      <c r="O18" s="20">
        <v>4857.58</v>
      </c>
      <c r="P18" s="20">
        <v>1876</v>
      </c>
      <c r="Q18" s="97">
        <v>11745.82</v>
      </c>
      <c r="R18" s="35">
        <f t="shared" si="25"/>
        <v>14942.894619999997</v>
      </c>
      <c r="S18" s="34">
        <f t="shared" si="26"/>
        <v>57710.194619999995</v>
      </c>
      <c r="T18" s="19"/>
      <c r="U18" s="18">
        <v>0.02</v>
      </c>
      <c r="V18" s="17"/>
      <c r="W18" s="5">
        <f t="shared" si="27"/>
        <v>24287.899999999998</v>
      </c>
      <c r="X18" s="32">
        <v>7.7225904853054236E-2</v>
      </c>
      <c r="Y18" s="4">
        <f t="shared" si="28"/>
        <v>1875.6550544804959</v>
      </c>
      <c r="Z18" s="4">
        <f t="shared" si="29"/>
        <v>0.34494551950410823</v>
      </c>
      <c r="AA18" s="12"/>
      <c r="AD18" s="16">
        <f t="shared" si="30"/>
        <v>12677.083037003767</v>
      </c>
      <c r="AE18" s="16">
        <f t="shared" si="31"/>
        <v>70387.277657003768</v>
      </c>
      <c r="AG18" s="31" t="s">
        <v>101</v>
      </c>
      <c r="AH18" s="51">
        <v>28</v>
      </c>
      <c r="AI18" s="50" t="s">
        <v>100</v>
      </c>
      <c r="AJ18" s="16">
        <v>7819</v>
      </c>
      <c r="AL18" s="30">
        <f t="shared" si="7"/>
        <v>12677.083037003767</v>
      </c>
      <c r="AM18" s="30">
        <f t="shared" si="8"/>
        <v>70387.277657003768</v>
      </c>
      <c r="AN18" s="28">
        <f t="shared" si="32"/>
        <v>16677.083037003766</v>
      </c>
      <c r="AO18" s="29">
        <f t="shared" si="33"/>
        <v>74387.277657003753</v>
      </c>
      <c r="AP18" s="28">
        <f t="shared" si="34"/>
        <v>29754.911062801504</v>
      </c>
      <c r="AQ18" s="28">
        <f t="shared" si="35"/>
        <v>18596.819414250938</v>
      </c>
      <c r="AR18" s="5">
        <f t="shared" si="36"/>
        <v>22316.183297101128</v>
      </c>
      <c r="AS18" s="5">
        <f t="shared" si="37"/>
        <v>29754.911062801504</v>
      </c>
      <c r="AT18" s="27" t="s">
        <v>76</v>
      </c>
      <c r="AU18" s="5">
        <f t="shared" si="15"/>
        <v>69247.604034250937</v>
      </c>
      <c r="AV18" s="5">
        <f t="shared" si="16"/>
        <v>27736.493037003765</v>
      </c>
      <c r="AW18" s="5">
        <f t="shared" si="17"/>
        <v>96984.097071254699</v>
      </c>
      <c r="AX18" s="50" t="s">
        <v>100</v>
      </c>
      <c r="AY18" s="51">
        <v>28</v>
      </c>
      <c r="AZ18" s="51">
        <v>28</v>
      </c>
      <c r="BA18" s="50" t="s">
        <v>100</v>
      </c>
      <c r="BB18" s="12">
        <f t="shared" si="38"/>
        <v>50650.784619999999</v>
      </c>
      <c r="BC18" s="5">
        <f t="shared" si="39"/>
        <v>7059.41</v>
      </c>
      <c r="BD18" s="22">
        <f t="shared" si="40"/>
        <v>57710.194619999995</v>
      </c>
      <c r="BE18" s="118">
        <v>16677</v>
      </c>
      <c r="BF18" s="157">
        <f t="shared" si="21"/>
        <v>33474.275008994344</v>
      </c>
      <c r="BG18" s="118">
        <v>9051</v>
      </c>
      <c r="BH18" s="158">
        <f t="shared" si="22"/>
        <v>114093.46962899434</v>
      </c>
      <c r="BI18" s="123">
        <v>10876</v>
      </c>
      <c r="BJ18" s="124"/>
      <c r="BK18" s="125">
        <f t="shared" si="23"/>
        <v>123093.46962899434</v>
      </c>
      <c r="BM18" s="158">
        <f t="shared" si="24"/>
        <v>114093.46962899434</v>
      </c>
    </row>
    <row r="19" spans="1:65" x14ac:dyDescent="0.2">
      <c r="A19" s="31" t="s">
        <v>101</v>
      </c>
      <c r="B19" s="51">
        <v>35</v>
      </c>
      <c r="C19" s="50" t="s">
        <v>100</v>
      </c>
      <c r="D19" s="37">
        <v>6939.86</v>
      </c>
      <c r="E19" s="23">
        <v>300</v>
      </c>
      <c r="F19" s="23">
        <v>1300</v>
      </c>
      <c r="G19" s="20">
        <v>206.53</v>
      </c>
      <c r="H19" s="36">
        <v>2418.38</v>
      </c>
      <c r="I19" s="20">
        <v>2713.42</v>
      </c>
      <c r="J19" s="20">
        <v>1554.15</v>
      </c>
      <c r="K19" s="20">
        <v>3081.02</v>
      </c>
      <c r="L19" s="20">
        <v>2487.5100000000002</v>
      </c>
      <c r="M19" s="20">
        <v>3106</v>
      </c>
      <c r="N19" s="20">
        <v>2604.88</v>
      </c>
      <c r="O19" s="20">
        <v>5342.35</v>
      </c>
      <c r="P19" s="20">
        <v>2062</v>
      </c>
      <c r="Q19" s="97">
        <v>12917.62</v>
      </c>
      <c r="R19" s="35">
        <f t="shared" si="25"/>
        <v>16433.581768000004</v>
      </c>
      <c r="S19" s="34">
        <f t="shared" si="26"/>
        <v>63467.301768000012</v>
      </c>
      <c r="T19" s="19"/>
      <c r="U19" s="18">
        <v>0.02</v>
      </c>
      <c r="V19" s="17"/>
      <c r="W19" s="5">
        <f t="shared" si="27"/>
        <v>26711.750000000004</v>
      </c>
      <c r="X19" s="32">
        <v>7.7207057250464173E-2</v>
      </c>
      <c r="Y19" s="4">
        <f t="shared" si="28"/>
        <v>2062.3356115100864</v>
      </c>
      <c r="Z19" s="4">
        <f t="shared" si="29"/>
        <v>-0.33561151008643719</v>
      </c>
      <c r="AA19" s="12"/>
      <c r="AD19" s="16">
        <f t="shared" si="30"/>
        <v>13941.735250511139</v>
      </c>
      <c r="AE19" s="16">
        <f t="shared" si="31"/>
        <v>77409.037018511153</v>
      </c>
      <c r="AG19" s="31" t="s">
        <v>101</v>
      </c>
      <c r="AH19" s="51">
        <v>35</v>
      </c>
      <c r="AI19" s="50" t="s">
        <v>100</v>
      </c>
      <c r="AJ19" s="16">
        <v>8106</v>
      </c>
      <c r="AL19" s="30">
        <f t="shared" si="7"/>
        <v>13941.735250511139</v>
      </c>
      <c r="AM19" s="30">
        <f t="shared" si="8"/>
        <v>77409.037018511153</v>
      </c>
      <c r="AN19" s="28">
        <f t="shared" si="32"/>
        <v>17941.735250511141</v>
      </c>
      <c r="AO19" s="29">
        <f t="shared" si="33"/>
        <v>81409.037018511153</v>
      </c>
      <c r="AP19" s="28">
        <f t="shared" si="34"/>
        <v>32563.614807404461</v>
      </c>
      <c r="AQ19" s="28">
        <f t="shared" si="35"/>
        <v>20352.259254627788</v>
      </c>
      <c r="AR19" s="5">
        <f t="shared" si="36"/>
        <v>24422.711105553346</v>
      </c>
      <c r="AS19" s="5">
        <f t="shared" si="37"/>
        <v>32563.614807404461</v>
      </c>
      <c r="AT19" s="27" t="s">
        <v>76</v>
      </c>
      <c r="AU19" s="5">
        <f t="shared" si="15"/>
        <v>76046.681022627803</v>
      </c>
      <c r="AV19" s="5">
        <f t="shared" si="16"/>
        <v>29714.615250511142</v>
      </c>
      <c r="AW19" s="5">
        <f t="shared" si="17"/>
        <v>105761.29627313894</v>
      </c>
      <c r="AX19" s="50" t="s">
        <v>100</v>
      </c>
      <c r="AY19" s="51">
        <v>35</v>
      </c>
      <c r="AZ19" s="51">
        <v>35</v>
      </c>
      <c r="BA19" s="50" t="s">
        <v>100</v>
      </c>
      <c r="BB19" s="12">
        <f t="shared" si="38"/>
        <v>55694.421768000007</v>
      </c>
      <c r="BC19" s="5">
        <f t="shared" si="39"/>
        <v>7772.88</v>
      </c>
      <c r="BD19" s="22">
        <f t="shared" si="40"/>
        <v>63467.301768000005</v>
      </c>
      <c r="BE19" s="118">
        <v>17942</v>
      </c>
      <c r="BF19" s="157">
        <f t="shared" si="21"/>
        <v>36634.066727991667</v>
      </c>
      <c r="BG19" s="118">
        <v>9548</v>
      </c>
      <c r="BH19" s="158">
        <f t="shared" si="22"/>
        <v>124485.36849599167</v>
      </c>
      <c r="BI19" s="123">
        <v>11062</v>
      </c>
      <c r="BJ19" s="124"/>
      <c r="BK19" s="125">
        <f t="shared" si="23"/>
        <v>133485.36849599169</v>
      </c>
      <c r="BM19" s="158">
        <f t="shared" si="24"/>
        <v>124485.36849599167</v>
      </c>
    </row>
    <row r="20" spans="1:65" x14ac:dyDescent="0.2">
      <c r="A20" s="31" t="s">
        <v>101</v>
      </c>
      <c r="B20" s="51">
        <v>36</v>
      </c>
      <c r="C20" s="50" t="s">
        <v>100</v>
      </c>
      <c r="D20" s="37">
        <v>7138.14</v>
      </c>
      <c r="E20" s="23">
        <v>300</v>
      </c>
      <c r="F20" s="23">
        <v>1300</v>
      </c>
      <c r="G20" s="20">
        <v>211.32</v>
      </c>
      <c r="H20" s="36">
        <v>2418.38</v>
      </c>
      <c r="I20" s="20">
        <v>2713.42</v>
      </c>
      <c r="J20" s="20">
        <v>1583.49</v>
      </c>
      <c r="K20" s="20">
        <v>3411.12</v>
      </c>
      <c r="L20" s="20">
        <v>2525.9899999999998</v>
      </c>
      <c r="M20" s="20">
        <v>3189</v>
      </c>
      <c r="N20" s="20">
        <v>2674.72</v>
      </c>
      <c r="O20" s="20">
        <v>5493.12</v>
      </c>
      <c r="P20" s="20">
        <v>2121</v>
      </c>
      <c r="Q20" s="97">
        <v>13282.5</v>
      </c>
      <c r="R20" s="35">
        <f t="shared" si="25"/>
        <v>16897.752680000001</v>
      </c>
      <c r="S20" s="34">
        <f t="shared" si="26"/>
        <v>65259.952680000002</v>
      </c>
      <c r="T20" s="19"/>
      <c r="U20" s="18">
        <v>0.02</v>
      </c>
      <c r="V20" s="17"/>
      <c r="W20" s="5">
        <f t="shared" si="27"/>
        <v>27465.58</v>
      </c>
      <c r="X20" s="32">
        <v>7.7204223183347451E-2</v>
      </c>
      <c r="Y20" s="4">
        <f t="shared" si="28"/>
        <v>2120.458768180084</v>
      </c>
      <c r="Z20" s="4">
        <f t="shared" si="29"/>
        <v>0.54123181991599267</v>
      </c>
      <c r="AA20" s="12"/>
      <c r="AB20">
        <f>+AC17/0.827</f>
        <v>60872.424191334947</v>
      </c>
      <c r="AD20" s="16">
        <f t="shared" si="30"/>
        <v>14335.523291210429</v>
      </c>
      <c r="AE20" s="16">
        <f t="shared" si="31"/>
        <v>79595.475971210428</v>
      </c>
      <c r="AG20" s="31" t="s">
        <v>101</v>
      </c>
      <c r="AH20" s="51">
        <v>36</v>
      </c>
      <c r="AI20" s="50" t="s">
        <v>100</v>
      </c>
      <c r="AJ20" s="16">
        <v>8189</v>
      </c>
      <c r="AL20" s="30">
        <f t="shared" si="7"/>
        <v>14335.523291210429</v>
      </c>
      <c r="AM20" s="30">
        <f t="shared" si="8"/>
        <v>79595.475971210428</v>
      </c>
      <c r="AN20" s="28">
        <f t="shared" si="32"/>
        <v>18335.523291210429</v>
      </c>
      <c r="AO20" s="29">
        <f t="shared" si="33"/>
        <v>83595.475971210428</v>
      </c>
      <c r="AP20" s="28">
        <f t="shared" si="34"/>
        <v>33438.190388484174</v>
      </c>
      <c r="AQ20" s="28">
        <f t="shared" si="35"/>
        <v>20898.868992802611</v>
      </c>
      <c r="AR20" s="5">
        <f t="shared" si="36"/>
        <v>25078.642791363131</v>
      </c>
      <c r="AS20" s="5">
        <f t="shared" si="37"/>
        <v>33438.190388484174</v>
      </c>
      <c r="AT20" s="27" t="s">
        <v>76</v>
      </c>
      <c r="AU20" s="5">
        <f t="shared" si="15"/>
        <v>78174.101672802615</v>
      </c>
      <c r="AV20" s="5">
        <f t="shared" si="16"/>
        <v>30320.243291210427</v>
      </c>
      <c r="AW20" s="5">
        <f t="shared" si="17"/>
        <v>108494.34496401304</v>
      </c>
      <c r="AX20" s="50" t="s">
        <v>100</v>
      </c>
      <c r="AY20" s="51">
        <v>36</v>
      </c>
      <c r="AZ20" s="51">
        <v>36</v>
      </c>
      <c r="BA20" s="50" t="s">
        <v>100</v>
      </c>
      <c r="BB20" s="12">
        <f t="shared" si="38"/>
        <v>57275.232680000001</v>
      </c>
      <c r="BC20" s="5">
        <f t="shared" si="39"/>
        <v>7984.7199999999993</v>
      </c>
      <c r="BD20" s="22">
        <f t="shared" si="40"/>
        <v>65259.952680000002</v>
      </c>
      <c r="BE20" s="118">
        <v>18336</v>
      </c>
      <c r="BF20" s="157">
        <f t="shared" si="21"/>
        <v>37617.964258673957</v>
      </c>
      <c r="BG20" s="118">
        <v>9697</v>
      </c>
      <c r="BH20" s="158">
        <f t="shared" si="22"/>
        <v>127721.91693867397</v>
      </c>
      <c r="BI20" s="123">
        <v>11121</v>
      </c>
      <c r="BJ20" s="124"/>
      <c r="BK20" s="125">
        <f t="shared" si="23"/>
        <v>136721.91693867397</v>
      </c>
      <c r="BM20" s="158">
        <f t="shared" si="24"/>
        <v>127721.91693867397</v>
      </c>
    </row>
    <row r="21" spans="1:65" x14ac:dyDescent="0.2">
      <c r="A21" s="31" t="s">
        <v>101</v>
      </c>
      <c r="B21" s="51">
        <v>40</v>
      </c>
      <c r="C21" s="50" t="s">
        <v>100</v>
      </c>
      <c r="D21" s="37">
        <v>7931.27</v>
      </c>
      <c r="E21" s="23">
        <v>300</v>
      </c>
      <c r="F21" s="23">
        <v>1300</v>
      </c>
      <c r="G21" s="20">
        <v>230.5</v>
      </c>
      <c r="H21" s="36">
        <v>2902.06</v>
      </c>
      <c r="I21" s="20">
        <v>3165.66</v>
      </c>
      <c r="J21" s="20">
        <v>1758.92</v>
      </c>
      <c r="K21" s="20">
        <v>3851.27</v>
      </c>
      <c r="L21" s="20">
        <v>2833.26</v>
      </c>
      <c r="M21" s="20">
        <v>3583</v>
      </c>
      <c r="N21" s="20">
        <v>3005.15</v>
      </c>
      <c r="O21" s="20">
        <v>6172.22</v>
      </c>
      <c r="P21" s="20">
        <v>2382</v>
      </c>
      <c r="Q21" s="97">
        <v>14924.25</v>
      </c>
      <c r="R21" s="35">
        <f t="shared" si="25"/>
        <v>18986.242264</v>
      </c>
      <c r="S21" s="34">
        <f t="shared" si="26"/>
        <v>73325.802263999998</v>
      </c>
      <c r="T21" s="19"/>
      <c r="U21" s="18">
        <v>0.02</v>
      </c>
      <c r="V21" s="17"/>
      <c r="W21" s="5">
        <f t="shared" si="27"/>
        <v>30861.090000000004</v>
      </c>
      <c r="X21" s="32">
        <v>7.7219135131333536E-2</v>
      </c>
      <c r="Y21" s="4">
        <f t="shared" si="28"/>
        <v>2383.0666790102464</v>
      </c>
      <c r="Z21" s="4">
        <f t="shared" si="29"/>
        <v>-1.0666790102463892</v>
      </c>
      <c r="AA21" s="12"/>
      <c r="AD21" s="16">
        <f t="shared" si="30"/>
        <v>16107.332338357777</v>
      </c>
      <c r="AE21" s="16">
        <f t="shared" si="31"/>
        <v>89433.134602357779</v>
      </c>
      <c r="AG21" s="31" t="s">
        <v>101</v>
      </c>
      <c r="AH21" s="51">
        <v>40</v>
      </c>
      <c r="AI21" s="50" t="s">
        <v>100</v>
      </c>
      <c r="AJ21" s="16">
        <v>8583</v>
      </c>
      <c r="AL21" s="30">
        <f t="shared" si="7"/>
        <v>16107.332338357777</v>
      </c>
      <c r="AM21" s="30">
        <f t="shared" si="8"/>
        <v>89433.134602357779</v>
      </c>
      <c r="AN21" s="28">
        <f t="shared" si="32"/>
        <v>20107.332338357777</v>
      </c>
      <c r="AO21" s="29">
        <f t="shared" si="33"/>
        <v>93433.134602357779</v>
      </c>
      <c r="AP21" s="28">
        <f t="shared" si="34"/>
        <v>37373.253840943114</v>
      </c>
      <c r="AQ21" s="28">
        <f t="shared" si="35"/>
        <v>23358.283650589445</v>
      </c>
      <c r="AR21" s="5">
        <f t="shared" si="36"/>
        <v>28029.940380707332</v>
      </c>
      <c r="AS21" s="5">
        <f t="shared" si="37"/>
        <v>37373.253840943114</v>
      </c>
      <c r="AT21" s="27" t="s">
        <v>76</v>
      </c>
      <c r="AU21" s="5">
        <f t="shared" si="15"/>
        <v>87713.935914589441</v>
      </c>
      <c r="AV21" s="5">
        <f t="shared" si="16"/>
        <v>33077.482338357775</v>
      </c>
      <c r="AW21" s="5">
        <f t="shared" si="17"/>
        <v>120791.41825294722</v>
      </c>
      <c r="AX21" s="50" t="s">
        <v>100</v>
      </c>
      <c r="AY21" s="51">
        <v>40</v>
      </c>
      <c r="AZ21" s="51">
        <v>40</v>
      </c>
      <c r="BA21" s="50" t="s">
        <v>100</v>
      </c>
      <c r="BB21" s="12">
        <f t="shared" si="38"/>
        <v>64355.652264000004</v>
      </c>
      <c r="BC21" s="5">
        <f t="shared" si="39"/>
        <v>8970.15</v>
      </c>
      <c r="BD21" s="22">
        <f t="shared" si="40"/>
        <v>73325.802263999998</v>
      </c>
      <c r="BE21" s="118">
        <v>20107</v>
      </c>
      <c r="BF21" s="157">
        <f t="shared" si="21"/>
        <v>42044.91065154333</v>
      </c>
      <c r="BG21" s="118">
        <v>10386</v>
      </c>
      <c r="BH21" s="158">
        <f t="shared" si="22"/>
        <v>142280.71291554332</v>
      </c>
      <c r="BI21" s="123">
        <v>11382</v>
      </c>
      <c r="BJ21" s="124"/>
      <c r="BK21" s="125">
        <f t="shared" si="23"/>
        <v>151280.71291554332</v>
      </c>
      <c r="BM21" s="158">
        <f t="shared" si="24"/>
        <v>142280.71291554332</v>
      </c>
    </row>
    <row r="22" spans="1:65" x14ac:dyDescent="0.2">
      <c r="A22" s="31" t="s">
        <v>101</v>
      </c>
      <c r="B22" s="51">
        <v>44</v>
      </c>
      <c r="C22" s="50" t="s">
        <v>100</v>
      </c>
      <c r="D22" s="37">
        <v>8724.39</v>
      </c>
      <c r="E22" s="23">
        <v>300</v>
      </c>
      <c r="F22" s="23">
        <v>1300</v>
      </c>
      <c r="G22" s="20">
        <v>249.68</v>
      </c>
      <c r="H22" s="36">
        <v>2902.06</v>
      </c>
      <c r="I22" s="20">
        <v>3165.66</v>
      </c>
      <c r="J22" s="20">
        <v>1876.31</v>
      </c>
      <c r="K22" s="20">
        <v>4071.34</v>
      </c>
      <c r="L22" s="20">
        <v>2987.2</v>
      </c>
      <c r="M22" s="20">
        <v>3775</v>
      </c>
      <c r="N22" s="20">
        <v>3166.22</v>
      </c>
      <c r="O22" s="20">
        <v>6503.57</v>
      </c>
      <c r="P22" s="20">
        <v>2511</v>
      </c>
      <c r="Q22" s="97">
        <v>15725.75</v>
      </c>
      <c r="R22" s="35">
        <f t="shared" si="25"/>
        <v>20006.008092000004</v>
      </c>
      <c r="S22" s="34">
        <f t="shared" si="26"/>
        <v>77264.188092000011</v>
      </c>
      <c r="T22" s="19"/>
      <c r="U22" s="18">
        <v>0.02</v>
      </c>
      <c r="V22" s="17"/>
      <c r="W22" s="5">
        <f t="shared" si="27"/>
        <v>32517.860000000004</v>
      </c>
      <c r="X22" s="32">
        <v>7.7211165668783333E-2</v>
      </c>
      <c r="Y22" s="4">
        <f t="shared" si="28"/>
        <v>2510.7418756543029</v>
      </c>
      <c r="Z22" s="4">
        <f t="shared" si="29"/>
        <v>0.25812434569706966</v>
      </c>
      <c r="AA22" s="12"/>
      <c r="AD22" s="16">
        <f t="shared" si="30"/>
        <v>16972.469676778957</v>
      </c>
      <c r="AE22" s="16">
        <f t="shared" si="31"/>
        <v>94236.657768778969</v>
      </c>
      <c r="AG22" s="31" t="s">
        <v>101</v>
      </c>
      <c r="AH22" s="51">
        <v>44</v>
      </c>
      <c r="AI22" s="50" t="s">
        <v>100</v>
      </c>
      <c r="AJ22" s="16">
        <v>8775</v>
      </c>
      <c r="AL22" s="30">
        <f t="shared" si="7"/>
        <v>16972.469676778957</v>
      </c>
      <c r="AM22" s="30">
        <f t="shared" si="8"/>
        <v>94236.657768778969</v>
      </c>
      <c r="AN22" s="28">
        <f t="shared" si="32"/>
        <v>20972.469676778957</v>
      </c>
      <c r="AO22" s="29">
        <f t="shared" si="33"/>
        <v>98236.657768778969</v>
      </c>
      <c r="AP22" s="28">
        <f t="shared" si="34"/>
        <v>39294.663107511587</v>
      </c>
      <c r="AQ22" s="28">
        <f t="shared" si="35"/>
        <v>24559.164442194742</v>
      </c>
      <c r="AR22" s="5">
        <f t="shared" si="36"/>
        <v>29470.997330633691</v>
      </c>
      <c r="AS22" s="5">
        <f t="shared" si="37"/>
        <v>39294.663107511587</v>
      </c>
      <c r="AT22" s="27" t="s">
        <v>76</v>
      </c>
      <c r="AU22" s="5">
        <f t="shared" si="15"/>
        <v>92371.132534194738</v>
      </c>
      <c r="AV22" s="5">
        <f t="shared" si="16"/>
        <v>34424.689676778959</v>
      </c>
      <c r="AW22" s="5">
        <f t="shared" si="17"/>
        <v>126795.8222109737</v>
      </c>
      <c r="AX22" s="50" t="s">
        <v>100</v>
      </c>
      <c r="AY22" s="51">
        <v>44</v>
      </c>
      <c r="AZ22" s="51">
        <v>44</v>
      </c>
      <c r="BA22" s="50" t="s">
        <v>100</v>
      </c>
      <c r="BB22" s="12">
        <f t="shared" si="38"/>
        <v>67811.96809200001</v>
      </c>
      <c r="BC22" s="5">
        <f t="shared" si="39"/>
        <v>9452.2199999999993</v>
      </c>
      <c r="BD22" s="22">
        <f t="shared" si="40"/>
        <v>77264.188092000011</v>
      </c>
      <c r="BE22" s="118">
        <v>20972</v>
      </c>
      <c r="BF22" s="157">
        <f t="shared" si="21"/>
        <v>44206.496080755634</v>
      </c>
      <c r="BG22" s="118">
        <v>10722</v>
      </c>
      <c r="BH22" s="158">
        <f t="shared" si="22"/>
        <v>149389.68417275563</v>
      </c>
      <c r="BI22" s="123">
        <v>11511</v>
      </c>
      <c r="BJ22" s="124"/>
      <c r="BK22" s="125">
        <f t="shared" si="23"/>
        <v>158389.68417275563</v>
      </c>
      <c r="BM22" s="158">
        <f t="shared" si="24"/>
        <v>149389.68417275563</v>
      </c>
    </row>
    <row r="23" spans="1:65" ht="15" x14ac:dyDescent="0.25">
      <c r="A23" s="31"/>
      <c r="B23" s="26"/>
      <c r="C23" s="15"/>
      <c r="D23" s="23"/>
      <c r="E23" s="22"/>
      <c r="F23" s="22"/>
      <c r="G23" s="20"/>
      <c r="H23" s="21"/>
      <c r="I23" s="20"/>
      <c r="J23" s="20"/>
      <c r="K23" s="20"/>
      <c r="L23" s="20"/>
      <c r="M23" s="20"/>
      <c r="N23" s="20"/>
      <c r="O23" s="20"/>
      <c r="P23" s="20"/>
      <c r="Q23" s="96">
        <v>0</v>
      </c>
      <c r="R23" s="35"/>
      <c r="S23" s="34"/>
      <c r="T23" s="19"/>
      <c r="U23" s="18"/>
      <c r="V23" s="17"/>
      <c r="W23" s="5"/>
      <c r="X23" s="32"/>
      <c r="Z23" s="4"/>
      <c r="AA23" s="12"/>
      <c r="AD23" s="16"/>
      <c r="AE23" s="16"/>
      <c r="AG23" s="31"/>
      <c r="AH23" s="26"/>
      <c r="AI23" s="15"/>
      <c r="AJ23" s="16"/>
      <c r="AL23" s="30">
        <f t="shared" si="7"/>
        <v>0</v>
      </c>
      <c r="AM23" s="30">
        <f t="shared" si="8"/>
        <v>0</v>
      </c>
      <c r="AN23" s="28">
        <f t="shared" si="32"/>
        <v>4000</v>
      </c>
      <c r="AO23" s="29">
        <f t="shared" si="33"/>
        <v>4000</v>
      </c>
      <c r="AP23" s="28">
        <f t="shared" si="34"/>
        <v>1600</v>
      </c>
      <c r="AQ23" s="28">
        <f t="shared" si="35"/>
        <v>1000</v>
      </c>
      <c r="AR23" s="5">
        <f t="shared" si="36"/>
        <v>1200</v>
      </c>
      <c r="AS23" s="5">
        <f t="shared" si="37"/>
        <v>1600</v>
      </c>
      <c r="AT23" s="27" t="s">
        <v>76</v>
      </c>
      <c r="AU23" s="5">
        <f t="shared" si="15"/>
        <v>1000</v>
      </c>
      <c r="AV23" s="5">
        <f t="shared" si="16"/>
        <v>8000</v>
      </c>
      <c r="AW23" s="5">
        <f t="shared" si="17"/>
        <v>9000</v>
      </c>
      <c r="AX23" s="15"/>
      <c r="AY23" s="26"/>
      <c r="AZ23" s="26"/>
      <c r="BA23" s="15"/>
      <c r="BB23" s="12"/>
      <c r="BC23" s="5"/>
      <c r="BD23" s="22"/>
      <c r="BE23" s="118"/>
      <c r="BF23" s="157"/>
      <c r="BG23" s="118"/>
      <c r="BH23" s="158"/>
      <c r="BI23" s="123"/>
      <c r="BJ23" s="124"/>
      <c r="BK23" s="125"/>
      <c r="BM23" s="158"/>
    </row>
    <row r="24" spans="1:65" x14ac:dyDescent="0.2">
      <c r="A24" s="43" t="s">
        <v>99</v>
      </c>
      <c r="B24" s="42">
        <v>30</v>
      </c>
      <c r="C24" s="41" t="s">
        <v>97</v>
      </c>
      <c r="D24" s="89">
        <v>6752.75</v>
      </c>
      <c r="E24" s="91">
        <v>300</v>
      </c>
      <c r="F24" s="91">
        <v>1300</v>
      </c>
      <c r="G24" s="91">
        <v>404</v>
      </c>
      <c r="H24" s="92">
        <v>2418.38</v>
      </c>
      <c r="I24" s="91">
        <v>2939.54</v>
      </c>
      <c r="J24" s="91">
        <v>1550.69</v>
      </c>
      <c r="K24" s="91">
        <v>3411.12</v>
      </c>
      <c r="L24" s="91">
        <v>2520.4299999999998</v>
      </c>
      <c r="M24" s="91">
        <v>3188</v>
      </c>
      <c r="N24" s="91">
        <v>2674.2</v>
      </c>
      <c r="O24" s="91">
        <v>5491.82</v>
      </c>
      <c r="P24" s="91">
        <v>2120</v>
      </c>
      <c r="Q24" s="95">
        <v>13279.47</v>
      </c>
      <c r="R24" s="93">
        <f t="shared" ref="R24:R31" si="41">SUM(D24:Q24)*$R$1</f>
        <v>16893.629760000003</v>
      </c>
      <c r="S24" s="94">
        <f t="shared" ref="S24:S31" si="42">SUM(D24:R24)</f>
        <v>65244.029760000012</v>
      </c>
      <c r="T24" s="19"/>
      <c r="U24" s="18">
        <v>0.04</v>
      </c>
      <c r="V24" s="17"/>
      <c r="W24" s="5">
        <f t="shared" ref="W24:W31" si="43">+D24+E24+F24+G24+H24+I24+J24+K24+L24+M24+N24</f>
        <v>27459.110000000004</v>
      </c>
      <c r="X24" s="32">
        <v>7.7222496011493585E-2</v>
      </c>
      <c r="Y24" s="4">
        <f t="shared" ref="Y24:Y31" si="44">+W24*X24</f>
        <v>2120.4610124541641</v>
      </c>
      <c r="Z24" s="4">
        <f t="shared" ref="Z24:Z31" si="45">+P24-Y24</f>
        <v>-0.46101245416411984</v>
      </c>
      <c r="AA24" s="12"/>
      <c r="AD24" s="16">
        <f t="shared" ref="AD24:AD31" si="46">+R24*$AD$2</f>
        <v>14332.02553521843</v>
      </c>
      <c r="AE24" s="16">
        <f t="shared" ref="AE24:AE31" si="47">+S24+AD24</f>
        <v>79576.055295218437</v>
      </c>
      <c r="AG24" s="43" t="s">
        <v>99</v>
      </c>
      <c r="AH24" s="42">
        <v>30</v>
      </c>
      <c r="AI24" s="41" t="s">
        <v>97</v>
      </c>
      <c r="AJ24" s="16">
        <v>8188</v>
      </c>
      <c r="AL24" s="30">
        <f t="shared" si="7"/>
        <v>14332.02553521843</v>
      </c>
      <c r="AM24" s="30">
        <f t="shared" si="8"/>
        <v>79576.055295218437</v>
      </c>
      <c r="AN24" s="28">
        <f t="shared" si="32"/>
        <v>18332.025535218432</v>
      </c>
      <c r="AO24" s="29">
        <f t="shared" si="33"/>
        <v>83576.055295218452</v>
      </c>
      <c r="AP24" s="28">
        <f t="shared" si="34"/>
        <v>33430.422118087379</v>
      </c>
      <c r="AQ24" s="28">
        <f t="shared" si="35"/>
        <v>20894.013823804613</v>
      </c>
      <c r="AR24" s="5">
        <f t="shared" si="36"/>
        <v>25072.816588565533</v>
      </c>
      <c r="AS24" s="5">
        <f t="shared" si="37"/>
        <v>33430.422118087379</v>
      </c>
      <c r="AT24" s="27" t="s">
        <v>76</v>
      </c>
      <c r="AU24" s="5">
        <f t="shared" si="15"/>
        <v>78155.843583804613</v>
      </c>
      <c r="AV24" s="5">
        <f t="shared" si="16"/>
        <v>30314.225535218433</v>
      </c>
      <c r="AW24" s="5">
        <f t="shared" si="17"/>
        <v>108470.06911902304</v>
      </c>
      <c r="AX24" s="41" t="s">
        <v>97</v>
      </c>
      <c r="AY24" s="42">
        <v>30</v>
      </c>
      <c r="AZ24" s="42">
        <v>30</v>
      </c>
      <c r="BA24" s="41" t="s">
        <v>97</v>
      </c>
      <c r="BB24" s="12">
        <f t="shared" ref="BB24:BB31" si="48">+D24+E24+F24+G24+H24+I24+J24+K24+L24+O24+Q24+R24</f>
        <v>57261.829760000008</v>
      </c>
      <c r="BC24" s="5">
        <f t="shared" ref="BC24:BC31" si="49">+M24+N24+P24</f>
        <v>7982.2</v>
      </c>
      <c r="BD24" s="22">
        <f t="shared" ref="BD24:BD31" si="50">+BB24+BC24</f>
        <v>65244.029760000005</v>
      </c>
      <c r="BE24" s="118">
        <v>18332</v>
      </c>
      <c r="BF24" s="157">
        <f t="shared" si="21"/>
        <v>37609.224954460078</v>
      </c>
      <c r="BG24" s="118">
        <v>9695</v>
      </c>
      <c r="BH24" s="158">
        <f t="shared" si="22"/>
        <v>127692.25471446008</v>
      </c>
      <c r="BI24" s="123">
        <v>11119</v>
      </c>
      <c r="BJ24" s="124"/>
      <c r="BK24" s="125">
        <f t="shared" si="23"/>
        <v>136692.25471446008</v>
      </c>
      <c r="BM24" s="158">
        <f t="shared" si="24"/>
        <v>127692.25471446008</v>
      </c>
    </row>
    <row r="25" spans="1:65" x14ac:dyDescent="0.2">
      <c r="A25" s="31" t="s">
        <v>98</v>
      </c>
      <c r="B25" s="44">
        <v>15</v>
      </c>
      <c r="C25" s="25" t="s">
        <v>97</v>
      </c>
      <c r="D25" s="37">
        <v>3376.38</v>
      </c>
      <c r="E25" s="23">
        <v>300</v>
      </c>
      <c r="F25" s="23">
        <v>1300</v>
      </c>
      <c r="G25" s="20">
        <v>240.7</v>
      </c>
      <c r="H25" s="36">
        <v>2418.38</v>
      </c>
      <c r="I25" s="20">
        <v>2939.54</v>
      </c>
      <c r="J25" s="20">
        <v>1041.18</v>
      </c>
      <c r="K25" s="20">
        <v>1706.17</v>
      </c>
      <c r="L25" s="20">
        <v>1849.88</v>
      </c>
      <c r="M25" s="20">
        <v>1594</v>
      </c>
      <c r="N25" s="20">
        <v>1892.41</v>
      </c>
      <c r="O25" s="20">
        <v>3731.73</v>
      </c>
      <c r="P25" s="20">
        <v>1237</v>
      </c>
      <c r="Q25" s="97">
        <v>8946.35</v>
      </c>
      <c r="R25" s="35">
        <f t="shared" si="41"/>
        <v>11381.257767999999</v>
      </c>
      <c r="S25" s="34">
        <f t="shared" si="42"/>
        <v>43954.977767999997</v>
      </c>
      <c r="T25" s="19"/>
      <c r="U25" s="18">
        <v>0.04</v>
      </c>
      <c r="V25" s="17"/>
      <c r="W25" s="5">
        <f t="shared" si="43"/>
        <v>18658.64</v>
      </c>
      <c r="X25" s="32">
        <v>6.5524609393215805E-2</v>
      </c>
      <c r="Y25" s="4">
        <f t="shared" si="44"/>
        <v>1222.6000978086322</v>
      </c>
      <c r="Z25" s="40">
        <f t="shared" si="45"/>
        <v>14.399902191367801</v>
      </c>
      <c r="AA25" s="12"/>
      <c r="AD25" s="16">
        <f t="shared" si="46"/>
        <v>9655.5020603150169</v>
      </c>
      <c r="AE25" s="16">
        <f t="shared" si="47"/>
        <v>53610.479828315016</v>
      </c>
      <c r="AG25" s="31" t="s">
        <v>98</v>
      </c>
      <c r="AH25" s="44">
        <v>15</v>
      </c>
      <c r="AI25" s="25" t="s">
        <v>97</v>
      </c>
      <c r="AJ25" s="16">
        <v>6594</v>
      </c>
      <c r="AL25" s="30">
        <f t="shared" si="7"/>
        <v>9655.5020603150169</v>
      </c>
      <c r="AM25" s="30">
        <f t="shared" si="8"/>
        <v>53610.479828315016</v>
      </c>
      <c r="AN25" s="28">
        <f t="shared" si="32"/>
        <v>13655.502060315017</v>
      </c>
      <c r="AO25" s="29">
        <f t="shared" si="33"/>
        <v>57610.479828315016</v>
      </c>
      <c r="AP25" s="28">
        <f t="shared" si="34"/>
        <v>23044.191931326008</v>
      </c>
      <c r="AQ25" s="28">
        <f t="shared" si="35"/>
        <v>14402.619957078754</v>
      </c>
      <c r="AR25" s="5">
        <f t="shared" si="36"/>
        <v>17283.143948494504</v>
      </c>
      <c r="AS25" s="5">
        <f t="shared" si="37"/>
        <v>23044.191931326008</v>
      </c>
      <c r="AT25" s="27" t="s">
        <v>76</v>
      </c>
      <c r="AU25" s="5">
        <f t="shared" si="15"/>
        <v>53634.187725078751</v>
      </c>
      <c r="AV25" s="5">
        <f t="shared" si="16"/>
        <v>22378.912060315015</v>
      </c>
      <c r="AW25" s="5">
        <f t="shared" si="17"/>
        <v>76013.099785393773</v>
      </c>
      <c r="AX25" s="25" t="s">
        <v>97</v>
      </c>
      <c r="AY25" s="44">
        <v>15</v>
      </c>
      <c r="AZ25" s="44">
        <v>15</v>
      </c>
      <c r="BA25" s="25" t="s">
        <v>97</v>
      </c>
      <c r="BB25" s="12">
        <f t="shared" si="48"/>
        <v>39231.567767999994</v>
      </c>
      <c r="BC25" s="5">
        <f t="shared" si="49"/>
        <v>4723.41</v>
      </c>
      <c r="BD25" s="22">
        <f t="shared" si="50"/>
        <v>43954.977767999997</v>
      </c>
      <c r="BE25" s="118">
        <v>13656</v>
      </c>
      <c r="BF25" s="157">
        <f t="shared" si="21"/>
        <v>25924.715970986697</v>
      </c>
      <c r="BG25" s="118">
        <v>7322</v>
      </c>
      <c r="BH25" s="158">
        <f t="shared" si="22"/>
        <v>89263.693738986694</v>
      </c>
      <c r="BI25" s="123">
        <v>10237</v>
      </c>
      <c r="BJ25" s="124"/>
      <c r="BK25" s="125">
        <f t="shared" si="23"/>
        <v>98263.693738986694</v>
      </c>
      <c r="BM25" s="158">
        <f t="shared" si="24"/>
        <v>89263.693738986694</v>
      </c>
    </row>
    <row r="26" spans="1:65" x14ac:dyDescent="0.2">
      <c r="A26" s="31" t="s">
        <v>98</v>
      </c>
      <c r="B26" s="26">
        <v>24</v>
      </c>
      <c r="C26" s="25" t="s">
        <v>97</v>
      </c>
      <c r="D26" s="37">
        <v>5402.2</v>
      </c>
      <c r="E26" s="23">
        <v>300</v>
      </c>
      <c r="F26" s="23">
        <v>1300</v>
      </c>
      <c r="G26" s="20">
        <v>338.68</v>
      </c>
      <c r="H26" s="36">
        <v>2418.38</v>
      </c>
      <c r="I26" s="20">
        <v>2939.54</v>
      </c>
      <c r="J26" s="20">
        <v>1346.89</v>
      </c>
      <c r="K26" s="20">
        <v>3411.12</v>
      </c>
      <c r="L26" s="20">
        <v>2252.21</v>
      </c>
      <c r="M26" s="20">
        <v>2903</v>
      </c>
      <c r="N26" s="20">
        <v>2434.81</v>
      </c>
      <c r="O26" s="20">
        <v>5009.37</v>
      </c>
      <c r="P26" s="20">
        <v>1934</v>
      </c>
      <c r="Q26" s="97">
        <v>12112.7</v>
      </c>
      <c r="R26" s="35">
        <f t="shared" si="41"/>
        <v>15409.553259999997</v>
      </c>
      <c r="S26" s="34">
        <f t="shared" si="42"/>
        <v>59512.453259999995</v>
      </c>
      <c r="T26" s="19"/>
      <c r="U26" s="18">
        <v>0.04</v>
      </c>
      <c r="V26" s="17"/>
      <c r="W26" s="5">
        <f t="shared" si="43"/>
        <v>25046.829999999998</v>
      </c>
      <c r="X26" s="32">
        <v>7.7195064770917768E-2</v>
      </c>
      <c r="Y26" s="4">
        <f t="shared" si="44"/>
        <v>1933.4916641561661</v>
      </c>
      <c r="Z26" s="4">
        <f t="shared" si="45"/>
        <v>0.50833584383394737</v>
      </c>
      <c r="AA26" s="12"/>
      <c r="AD26" s="16">
        <f t="shared" si="46"/>
        <v>13072.981588098231</v>
      </c>
      <c r="AE26" s="16">
        <f t="shared" si="47"/>
        <v>72585.43484809823</v>
      </c>
      <c r="AG26" s="31" t="s">
        <v>98</v>
      </c>
      <c r="AH26" s="26">
        <v>24</v>
      </c>
      <c r="AI26" s="25" t="s">
        <v>97</v>
      </c>
      <c r="AJ26" s="16">
        <v>7903</v>
      </c>
      <c r="AL26" s="30">
        <f t="shared" si="7"/>
        <v>13072.981588098231</v>
      </c>
      <c r="AM26" s="30">
        <f t="shared" si="8"/>
        <v>72585.43484809823</v>
      </c>
      <c r="AN26" s="28">
        <f t="shared" si="32"/>
        <v>17072.981588098231</v>
      </c>
      <c r="AO26" s="29">
        <f t="shared" si="33"/>
        <v>76585.43484809823</v>
      </c>
      <c r="AP26" s="28">
        <f t="shared" si="34"/>
        <v>30634.173939239292</v>
      </c>
      <c r="AQ26" s="28">
        <f t="shared" si="35"/>
        <v>19146.358712024554</v>
      </c>
      <c r="AR26" s="5">
        <f t="shared" si="36"/>
        <v>22975.630454429465</v>
      </c>
      <c r="AS26" s="5">
        <f t="shared" si="37"/>
        <v>30634.173939239288</v>
      </c>
      <c r="AT26" s="27" t="s">
        <v>76</v>
      </c>
      <c r="AU26" s="5">
        <f t="shared" si="15"/>
        <v>71387.001972024547</v>
      </c>
      <c r="AV26" s="5">
        <f t="shared" si="16"/>
        <v>28344.791588098233</v>
      </c>
      <c r="AW26" s="5">
        <f t="shared" si="17"/>
        <v>99731.79356012278</v>
      </c>
      <c r="AX26" s="25" t="s">
        <v>97</v>
      </c>
      <c r="AY26" s="26">
        <v>24</v>
      </c>
      <c r="AZ26" s="26">
        <v>24</v>
      </c>
      <c r="BA26" s="25" t="s">
        <v>97</v>
      </c>
      <c r="BB26" s="12">
        <f t="shared" si="48"/>
        <v>52240.643259999997</v>
      </c>
      <c r="BC26" s="5">
        <f t="shared" si="49"/>
        <v>7271.8099999999995</v>
      </c>
      <c r="BD26" s="22">
        <f t="shared" si="50"/>
        <v>59512.453259999995</v>
      </c>
      <c r="BE26" s="118">
        <v>17073</v>
      </c>
      <c r="BF26" s="157">
        <f t="shared" si="21"/>
        <v>34463.445746965008</v>
      </c>
      <c r="BG26" s="118">
        <v>9201</v>
      </c>
      <c r="BH26" s="158">
        <f t="shared" si="22"/>
        <v>117346.899006965</v>
      </c>
      <c r="BI26" s="123">
        <v>10934</v>
      </c>
      <c r="BJ26" s="124"/>
      <c r="BK26" s="125">
        <f t="shared" si="23"/>
        <v>126346.899006965</v>
      </c>
      <c r="BM26" s="158">
        <f t="shared" si="24"/>
        <v>117346.899006965</v>
      </c>
    </row>
    <row r="27" spans="1:65" x14ac:dyDescent="0.2">
      <c r="A27" s="31" t="s">
        <v>98</v>
      </c>
      <c r="B27" s="26">
        <v>28</v>
      </c>
      <c r="C27" s="25" t="s">
        <v>97</v>
      </c>
      <c r="D27" s="37">
        <v>6302.57</v>
      </c>
      <c r="E27" s="23">
        <v>300</v>
      </c>
      <c r="F27" s="23">
        <v>1300</v>
      </c>
      <c r="G27" s="20">
        <v>382.23</v>
      </c>
      <c r="H27" s="36">
        <v>2418.38</v>
      </c>
      <c r="I27" s="20">
        <v>2939.54</v>
      </c>
      <c r="J27" s="20">
        <v>1482.76</v>
      </c>
      <c r="K27" s="20">
        <v>3411.12</v>
      </c>
      <c r="L27" s="20">
        <v>2431.0300000000002</v>
      </c>
      <c r="M27" s="20">
        <v>3093</v>
      </c>
      <c r="N27" s="20">
        <v>2594.4</v>
      </c>
      <c r="O27" s="20">
        <v>5331.01</v>
      </c>
      <c r="P27" s="20">
        <v>2058</v>
      </c>
      <c r="Q27" s="97">
        <v>12890.3</v>
      </c>
      <c r="R27" s="35">
        <f t="shared" si="41"/>
        <v>16398.858396</v>
      </c>
      <c r="S27" s="34">
        <f t="shared" si="42"/>
        <v>63333.198395999992</v>
      </c>
      <c r="T27" s="19"/>
      <c r="U27" s="18">
        <v>0.04</v>
      </c>
      <c r="V27" s="17"/>
      <c r="W27" s="5">
        <f t="shared" si="43"/>
        <v>26655.030000000002</v>
      </c>
      <c r="X27" s="32">
        <v>7.7225904853054236E-2</v>
      </c>
      <c r="Y27" s="4">
        <f t="shared" si="44"/>
        <v>2058.4588106353062</v>
      </c>
      <c r="Z27" s="4">
        <f t="shared" si="45"/>
        <v>-0.45881063530623578</v>
      </c>
      <c r="AA27" s="12"/>
      <c r="AD27" s="16">
        <f t="shared" si="46"/>
        <v>13912.277030978517</v>
      </c>
      <c r="AE27" s="16">
        <f t="shared" si="47"/>
        <v>77245.475426978504</v>
      </c>
      <c r="AG27" s="31" t="s">
        <v>98</v>
      </c>
      <c r="AH27" s="26">
        <v>28</v>
      </c>
      <c r="AI27" s="25" t="s">
        <v>97</v>
      </c>
      <c r="AJ27" s="16">
        <v>8093</v>
      </c>
      <c r="AL27" s="30">
        <f t="shared" si="7"/>
        <v>13912.277030978517</v>
      </c>
      <c r="AM27" s="30">
        <f t="shared" si="8"/>
        <v>77245.475426978504</v>
      </c>
      <c r="AN27" s="28">
        <f t="shared" si="32"/>
        <v>17912.277030978519</v>
      </c>
      <c r="AO27" s="29">
        <f t="shared" si="33"/>
        <v>81245.475426978519</v>
      </c>
      <c r="AP27" s="28">
        <f t="shared" si="34"/>
        <v>32498.190170791408</v>
      </c>
      <c r="AQ27" s="28">
        <f t="shared" si="35"/>
        <v>20311.36885674463</v>
      </c>
      <c r="AR27" s="5">
        <f t="shared" si="36"/>
        <v>24373.642628093556</v>
      </c>
      <c r="AS27" s="5">
        <f t="shared" si="37"/>
        <v>32498.190170791408</v>
      </c>
      <c r="AT27" s="27" t="s">
        <v>76</v>
      </c>
      <c r="AU27" s="5">
        <f t="shared" si="15"/>
        <v>75899.167252744635</v>
      </c>
      <c r="AV27" s="5">
        <f t="shared" si="16"/>
        <v>29657.677030978521</v>
      </c>
      <c r="AW27" s="5">
        <f t="shared" si="17"/>
        <v>105556.84428372316</v>
      </c>
      <c r="AX27" s="25" t="s">
        <v>97</v>
      </c>
      <c r="AY27" s="26">
        <v>28</v>
      </c>
      <c r="AZ27" s="26">
        <v>28</v>
      </c>
      <c r="BA27" s="25" t="s">
        <v>97</v>
      </c>
      <c r="BB27" s="12">
        <f t="shared" si="48"/>
        <v>55587.798395999998</v>
      </c>
      <c r="BC27" s="5">
        <f t="shared" si="49"/>
        <v>7745.4</v>
      </c>
      <c r="BD27" s="22">
        <f t="shared" si="50"/>
        <v>63333.198396</v>
      </c>
      <c r="BE27" s="118">
        <v>17912</v>
      </c>
      <c r="BF27" s="157">
        <f t="shared" si="21"/>
        <v>36560.464011654789</v>
      </c>
      <c r="BG27" s="118">
        <v>9530</v>
      </c>
      <c r="BH27" s="158">
        <f t="shared" si="22"/>
        <v>124242.66240765477</v>
      </c>
      <c r="BI27" s="123">
        <v>11058</v>
      </c>
      <c r="BJ27" s="124"/>
      <c r="BK27" s="125">
        <f t="shared" si="23"/>
        <v>133242.66240765477</v>
      </c>
      <c r="BM27" s="158">
        <f t="shared" si="24"/>
        <v>124242.66240765477</v>
      </c>
    </row>
    <row r="28" spans="1:65" x14ac:dyDescent="0.2">
      <c r="A28" s="31" t="s">
        <v>98</v>
      </c>
      <c r="B28" s="26">
        <v>35</v>
      </c>
      <c r="C28" s="25" t="s">
        <v>97</v>
      </c>
      <c r="D28" s="37">
        <v>7878.21</v>
      </c>
      <c r="E28" s="23">
        <v>300</v>
      </c>
      <c r="F28" s="23">
        <v>1300</v>
      </c>
      <c r="G28" s="20">
        <v>458.44</v>
      </c>
      <c r="H28" s="36">
        <v>2418.38</v>
      </c>
      <c r="I28" s="20">
        <v>2939.54</v>
      </c>
      <c r="J28" s="20">
        <v>1720.53</v>
      </c>
      <c r="K28" s="20">
        <v>3411.12</v>
      </c>
      <c r="L28" s="20">
        <v>2743.95</v>
      </c>
      <c r="M28" s="20">
        <v>3426</v>
      </c>
      <c r="N28" s="20">
        <v>2873.7</v>
      </c>
      <c r="O28" s="20">
        <v>5893.97</v>
      </c>
      <c r="P28" s="20">
        <v>2275</v>
      </c>
      <c r="Q28" s="97">
        <v>14251.71</v>
      </c>
      <c r="R28" s="35">
        <f t="shared" si="41"/>
        <v>18130.558169999997</v>
      </c>
      <c r="S28" s="34">
        <f t="shared" si="42"/>
        <v>70021.108169999992</v>
      </c>
      <c r="T28" s="33"/>
      <c r="U28" s="18">
        <v>0.04</v>
      </c>
      <c r="V28" s="17"/>
      <c r="W28" s="5">
        <f t="shared" si="43"/>
        <v>29469.87</v>
      </c>
      <c r="X28" s="32">
        <v>7.7207057250464173E-2</v>
      </c>
      <c r="Y28" s="4">
        <f t="shared" si="44"/>
        <v>2275.2819402537366</v>
      </c>
      <c r="Z28" s="4">
        <f t="shared" si="45"/>
        <v>-0.28194025373659315</v>
      </c>
      <c r="AA28" s="12"/>
      <c r="AD28" s="16">
        <f t="shared" si="46"/>
        <v>15381.396795818204</v>
      </c>
      <c r="AE28" s="16">
        <f t="shared" si="47"/>
        <v>85402.504965818196</v>
      </c>
      <c r="AG28" s="31" t="s">
        <v>98</v>
      </c>
      <c r="AH28" s="26">
        <v>35</v>
      </c>
      <c r="AI28" s="25" t="s">
        <v>97</v>
      </c>
      <c r="AJ28" s="16">
        <v>8426</v>
      </c>
      <c r="AL28" s="30">
        <f t="shared" si="7"/>
        <v>15381.396795818204</v>
      </c>
      <c r="AM28" s="30">
        <f t="shared" si="8"/>
        <v>85402.504965818196</v>
      </c>
      <c r="AN28" s="28">
        <f t="shared" si="32"/>
        <v>19381.396795818204</v>
      </c>
      <c r="AO28" s="29">
        <f t="shared" si="33"/>
        <v>89402.504965818196</v>
      </c>
      <c r="AP28" s="28">
        <f t="shared" si="34"/>
        <v>35761.001986327283</v>
      </c>
      <c r="AQ28" s="28">
        <f t="shared" si="35"/>
        <v>22350.626241454549</v>
      </c>
      <c r="AR28" s="5">
        <f t="shared" si="36"/>
        <v>26820.751489745457</v>
      </c>
      <c r="AS28" s="5">
        <f t="shared" si="37"/>
        <v>35761.001986327276</v>
      </c>
      <c r="AT28" s="27" t="s">
        <v>76</v>
      </c>
      <c r="AU28" s="5">
        <f t="shared" si="15"/>
        <v>83797.034411454544</v>
      </c>
      <c r="AV28" s="5">
        <f t="shared" si="16"/>
        <v>31956.096795818205</v>
      </c>
      <c r="AW28" s="5">
        <f t="shared" si="17"/>
        <v>115753.13120727275</v>
      </c>
      <c r="AX28" s="25" t="s">
        <v>97</v>
      </c>
      <c r="AY28" s="26">
        <v>35</v>
      </c>
      <c r="AZ28" s="26">
        <v>35</v>
      </c>
      <c r="BA28" s="25" t="s">
        <v>97</v>
      </c>
      <c r="BB28" s="12">
        <f t="shared" si="48"/>
        <v>61446.408169999995</v>
      </c>
      <c r="BC28" s="5">
        <f t="shared" si="49"/>
        <v>8574.7000000000007</v>
      </c>
      <c r="BD28" s="22">
        <f t="shared" si="50"/>
        <v>70021.108169999992</v>
      </c>
      <c r="BE28" s="118">
        <v>19381</v>
      </c>
      <c r="BF28" s="157">
        <f t="shared" si="21"/>
        <v>40231.127311473283</v>
      </c>
      <c r="BG28" s="118">
        <v>10108</v>
      </c>
      <c r="BH28" s="158">
        <f t="shared" si="22"/>
        <v>136315.23548147327</v>
      </c>
      <c r="BI28" s="123">
        <v>11275</v>
      </c>
      <c r="BJ28" s="124"/>
      <c r="BK28" s="125">
        <f t="shared" si="23"/>
        <v>145315.23548147327</v>
      </c>
      <c r="BM28" s="158">
        <f t="shared" si="24"/>
        <v>136315.23548147327</v>
      </c>
    </row>
    <row r="29" spans="1:65" x14ac:dyDescent="0.2">
      <c r="A29" s="31" t="s">
        <v>98</v>
      </c>
      <c r="B29" s="26">
        <v>36</v>
      </c>
      <c r="C29" s="25" t="s">
        <v>97</v>
      </c>
      <c r="D29" s="37">
        <v>8103.3</v>
      </c>
      <c r="E29" s="23">
        <v>300</v>
      </c>
      <c r="F29" s="23">
        <v>1300</v>
      </c>
      <c r="G29" s="20">
        <v>469.33</v>
      </c>
      <c r="H29" s="36">
        <v>2418.38</v>
      </c>
      <c r="I29" s="20">
        <v>2939.54</v>
      </c>
      <c r="J29" s="20">
        <v>1754.5</v>
      </c>
      <c r="K29" s="20">
        <v>3741.23</v>
      </c>
      <c r="L29" s="20">
        <v>2788.65</v>
      </c>
      <c r="M29" s="20">
        <v>3516</v>
      </c>
      <c r="N29" s="20">
        <v>2949.08</v>
      </c>
      <c r="O29" s="20">
        <v>6056</v>
      </c>
      <c r="P29" s="20">
        <v>2337</v>
      </c>
      <c r="Q29" s="97">
        <v>14643.33</v>
      </c>
      <c r="R29" s="35">
        <f t="shared" si="41"/>
        <v>18628.729196</v>
      </c>
      <c r="S29" s="34">
        <f t="shared" si="42"/>
        <v>71945.069195999997</v>
      </c>
      <c r="T29" s="33"/>
      <c r="U29" s="18">
        <v>0.04</v>
      </c>
      <c r="V29" s="17"/>
      <c r="W29" s="5">
        <f t="shared" si="43"/>
        <v>30280.010000000002</v>
      </c>
      <c r="X29" s="32">
        <v>7.7204223183347451E-2</v>
      </c>
      <c r="Y29" s="4">
        <f t="shared" si="44"/>
        <v>2337.7446500339929</v>
      </c>
      <c r="Z29" s="4">
        <f t="shared" si="45"/>
        <v>-0.74465003399291163</v>
      </c>
      <c r="AA29" s="12"/>
      <c r="AD29" s="16">
        <f t="shared" si="46"/>
        <v>15804.02946665152</v>
      </c>
      <c r="AE29" s="16">
        <f t="shared" si="47"/>
        <v>87749.098662651522</v>
      </c>
      <c r="AG29" s="31" t="s">
        <v>98</v>
      </c>
      <c r="AH29" s="26">
        <v>36</v>
      </c>
      <c r="AI29" s="25" t="s">
        <v>97</v>
      </c>
      <c r="AJ29" s="16">
        <v>8516</v>
      </c>
      <c r="AL29" s="30">
        <f t="shared" si="7"/>
        <v>15804.02946665152</v>
      </c>
      <c r="AM29" s="30">
        <f t="shared" si="8"/>
        <v>87749.098662651522</v>
      </c>
      <c r="AN29" s="28">
        <f t="shared" si="32"/>
        <v>19804.029466651518</v>
      </c>
      <c r="AO29" s="29">
        <f t="shared" si="33"/>
        <v>91749.098662651522</v>
      </c>
      <c r="AP29" s="28">
        <f t="shared" si="34"/>
        <v>36699.639465060609</v>
      </c>
      <c r="AQ29" s="28">
        <f t="shared" si="35"/>
        <v>22937.274665662881</v>
      </c>
      <c r="AR29" s="5">
        <f t="shared" si="36"/>
        <v>27524.729598795457</v>
      </c>
      <c r="AS29" s="5">
        <f t="shared" si="37"/>
        <v>36699.639465060609</v>
      </c>
      <c r="AT29" s="27" t="s">
        <v>76</v>
      </c>
      <c r="AU29" s="5">
        <f t="shared" si="15"/>
        <v>86080.263861662883</v>
      </c>
      <c r="AV29" s="5">
        <f t="shared" si="16"/>
        <v>32606.10946665152</v>
      </c>
      <c r="AW29" s="5">
        <f t="shared" si="17"/>
        <v>118686.3733283144</v>
      </c>
      <c r="AX29" s="25" t="s">
        <v>97</v>
      </c>
      <c r="AY29" s="26">
        <v>36</v>
      </c>
      <c r="AZ29" s="26">
        <v>36</v>
      </c>
      <c r="BA29" s="25" t="s">
        <v>97</v>
      </c>
      <c r="BB29" s="12">
        <f t="shared" si="48"/>
        <v>63142.989196000002</v>
      </c>
      <c r="BC29" s="5">
        <f t="shared" si="49"/>
        <v>8802.08</v>
      </c>
      <c r="BD29" s="22">
        <f t="shared" si="50"/>
        <v>71945.069195999997</v>
      </c>
      <c r="BE29" s="118">
        <v>19804</v>
      </c>
      <c r="BF29" s="157">
        <f t="shared" si="21"/>
        <v>41287.094477160019</v>
      </c>
      <c r="BG29" s="118">
        <v>10268</v>
      </c>
      <c r="BH29" s="158">
        <f t="shared" si="22"/>
        <v>139788.16367316002</v>
      </c>
      <c r="BI29" s="123">
        <v>11337</v>
      </c>
      <c r="BJ29" s="124"/>
      <c r="BK29" s="125">
        <f t="shared" si="23"/>
        <v>148788.16367316002</v>
      </c>
      <c r="BM29" s="158">
        <f t="shared" si="24"/>
        <v>139788.16367316002</v>
      </c>
    </row>
    <row r="30" spans="1:65" x14ac:dyDescent="0.2">
      <c r="A30" s="31" t="s">
        <v>98</v>
      </c>
      <c r="B30" s="26">
        <v>40</v>
      </c>
      <c r="C30" s="25" t="s">
        <v>97</v>
      </c>
      <c r="D30" s="37">
        <v>9003.67</v>
      </c>
      <c r="E30" s="23">
        <v>300</v>
      </c>
      <c r="F30" s="23">
        <v>1300</v>
      </c>
      <c r="G30" s="20">
        <v>512.87</v>
      </c>
      <c r="H30" s="36">
        <v>2902.06</v>
      </c>
      <c r="I30" s="20">
        <v>3165.66</v>
      </c>
      <c r="J30" s="20">
        <v>1948.41</v>
      </c>
      <c r="K30" s="20">
        <v>4181.38</v>
      </c>
      <c r="L30" s="20">
        <v>3089.13</v>
      </c>
      <c r="M30" s="20">
        <v>3898</v>
      </c>
      <c r="N30" s="20">
        <v>3268.9</v>
      </c>
      <c r="O30" s="20">
        <v>6714.02</v>
      </c>
      <c r="P30" s="20">
        <v>2592</v>
      </c>
      <c r="Q30" s="97">
        <v>16234.57</v>
      </c>
      <c r="R30" s="35">
        <f t="shared" si="41"/>
        <v>20653.268098</v>
      </c>
      <c r="S30" s="34">
        <f t="shared" si="42"/>
        <v>79763.938098000013</v>
      </c>
      <c r="T30" s="33"/>
      <c r="U30" s="18">
        <v>0.04</v>
      </c>
      <c r="V30" s="17"/>
      <c r="W30" s="5">
        <f t="shared" si="43"/>
        <v>33570.080000000002</v>
      </c>
      <c r="X30" s="32">
        <v>7.7219135131333536E-2</v>
      </c>
      <c r="Y30" s="4">
        <f t="shared" si="44"/>
        <v>2592.2525438896773</v>
      </c>
      <c r="Z30" s="4">
        <f t="shared" si="45"/>
        <v>-0.25254388967732666</v>
      </c>
      <c r="AA30" s="12"/>
      <c r="AD30" s="16">
        <f t="shared" si="46"/>
        <v>17521.584761322963</v>
      </c>
      <c r="AE30" s="16">
        <f t="shared" si="47"/>
        <v>97285.522859322984</v>
      </c>
      <c r="AG30" s="31" t="s">
        <v>98</v>
      </c>
      <c r="AH30" s="26">
        <v>40</v>
      </c>
      <c r="AI30" s="25" t="s">
        <v>97</v>
      </c>
      <c r="AJ30" s="16">
        <v>8898</v>
      </c>
      <c r="AL30" s="30">
        <f t="shared" si="7"/>
        <v>17521.584761322963</v>
      </c>
      <c r="AM30" s="30">
        <f t="shared" si="8"/>
        <v>97285.522859322984</v>
      </c>
      <c r="AN30" s="28">
        <f t="shared" si="32"/>
        <v>21521.584761322963</v>
      </c>
      <c r="AO30" s="29">
        <f t="shared" si="33"/>
        <v>101285.52285932298</v>
      </c>
      <c r="AP30" s="28">
        <f t="shared" si="34"/>
        <v>40514.209143729197</v>
      </c>
      <c r="AQ30" s="28">
        <f t="shared" si="35"/>
        <v>25321.380714830742</v>
      </c>
      <c r="AR30" s="5">
        <f t="shared" si="36"/>
        <v>30385.65685779689</v>
      </c>
      <c r="AS30" s="5">
        <f t="shared" si="37"/>
        <v>40514.209143729189</v>
      </c>
      <c r="AT30" s="27" t="s">
        <v>76</v>
      </c>
      <c r="AU30" s="5">
        <f t="shared" si="15"/>
        <v>95326.418812830743</v>
      </c>
      <c r="AV30" s="5">
        <f t="shared" si="16"/>
        <v>35280.484761322965</v>
      </c>
      <c r="AW30" s="5">
        <f t="shared" si="17"/>
        <v>130606.90357415371</v>
      </c>
      <c r="AX30" s="25" t="s">
        <v>97</v>
      </c>
      <c r="AY30" s="26">
        <v>40</v>
      </c>
      <c r="AZ30" s="26">
        <v>40</v>
      </c>
      <c r="BA30" s="25" t="s">
        <v>97</v>
      </c>
      <c r="BB30" s="12">
        <f t="shared" si="48"/>
        <v>70005.038098000005</v>
      </c>
      <c r="BC30" s="5">
        <f t="shared" si="49"/>
        <v>9758.9</v>
      </c>
      <c r="BD30" s="22">
        <f t="shared" si="50"/>
        <v>79763.938097999999</v>
      </c>
      <c r="BE30" s="118">
        <v>21522</v>
      </c>
      <c r="BF30" s="157">
        <f t="shared" si="21"/>
        <v>45578.485374244156</v>
      </c>
      <c r="BG30" s="118">
        <v>10937</v>
      </c>
      <c r="BH30" s="158">
        <f t="shared" si="22"/>
        <v>153903.42347224415</v>
      </c>
      <c r="BI30" s="123">
        <v>11592</v>
      </c>
      <c r="BJ30" s="124"/>
      <c r="BK30" s="125">
        <f t="shared" si="23"/>
        <v>162903.42347224415</v>
      </c>
      <c r="BM30" s="158">
        <f t="shared" si="24"/>
        <v>153903.42347224415</v>
      </c>
    </row>
    <row r="31" spans="1:65" x14ac:dyDescent="0.2">
      <c r="A31" s="31" t="s">
        <v>98</v>
      </c>
      <c r="B31" s="26">
        <v>44</v>
      </c>
      <c r="C31" s="25" t="s">
        <v>97</v>
      </c>
      <c r="D31" s="37">
        <v>9904.0300000000007</v>
      </c>
      <c r="E31" s="23">
        <v>300</v>
      </c>
      <c r="F31" s="23">
        <v>1300</v>
      </c>
      <c r="G31" s="20">
        <v>556.41999999999996</v>
      </c>
      <c r="H31" s="36">
        <v>2902.06</v>
      </c>
      <c r="I31" s="20">
        <v>3165.66</v>
      </c>
      <c r="J31" s="20">
        <v>2084.2800000000002</v>
      </c>
      <c r="K31" s="20">
        <v>4401.45</v>
      </c>
      <c r="L31" s="20">
        <v>3267.94</v>
      </c>
      <c r="M31" s="20">
        <v>4116</v>
      </c>
      <c r="N31" s="20">
        <v>3452.16</v>
      </c>
      <c r="O31" s="20">
        <v>7090</v>
      </c>
      <c r="P31" s="20">
        <v>2737</v>
      </c>
      <c r="Q31" s="97">
        <v>17143.62</v>
      </c>
      <c r="R31" s="35">
        <f t="shared" si="41"/>
        <v>21809.764627999997</v>
      </c>
      <c r="S31" s="34">
        <f t="shared" si="42"/>
        <v>84230.384628</v>
      </c>
      <c r="T31" s="33"/>
      <c r="U31" s="18">
        <v>0.04</v>
      </c>
      <c r="V31" s="17"/>
      <c r="W31" s="5">
        <f t="shared" si="43"/>
        <v>35450</v>
      </c>
      <c r="X31" s="32">
        <v>7.7211165668783333E-2</v>
      </c>
      <c r="Y31" s="4">
        <f t="shared" si="44"/>
        <v>2737.1358229583693</v>
      </c>
      <c r="Z31" s="4">
        <f t="shared" si="45"/>
        <v>-0.13582295836931735</v>
      </c>
      <c r="AA31" s="12"/>
      <c r="AD31" s="16">
        <f t="shared" si="46"/>
        <v>18502.720138078817</v>
      </c>
      <c r="AE31" s="16">
        <f t="shared" si="47"/>
        <v>102733.10476607882</v>
      </c>
      <c r="AG31" s="31" t="s">
        <v>98</v>
      </c>
      <c r="AH31" s="26">
        <v>44</v>
      </c>
      <c r="AI31" s="25" t="s">
        <v>97</v>
      </c>
      <c r="AJ31" s="16">
        <v>9116</v>
      </c>
      <c r="AL31" s="30">
        <f t="shared" si="7"/>
        <v>18502.720138078817</v>
      </c>
      <c r="AM31" s="30">
        <f t="shared" si="8"/>
        <v>102733.10476607882</v>
      </c>
      <c r="AN31" s="28">
        <f t="shared" si="32"/>
        <v>22502.720138078817</v>
      </c>
      <c r="AO31" s="29">
        <f t="shared" si="33"/>
        <v>106733.10476607882</v>
      </c>
      <c r="AP31" s="28">
        <f t="shared" si="34"/>
        <v>42693.241906431533</v>
      </c>
      <c r="AQ31" s="28">
        <f t="shared" si="35"/>
        <v>26683.276191519701</v>
      </c>
      <c r="AR31" s="5">
        <f t="shared" si="36"/>
        <v>32019.931429823642</v>
      </c>
      <c r="AS31" s="5">
        <f t="shared" si="37"/>
        <v>42693.241906431525</v>
      </c>
      <c r="AT31" s="27" t="s">
        <v>76</v>
      </c>
      <c r="AU31" s="5">
        <f t="shared" si="15"/>
        <v>100608.5008195197</v>
      </c>
      <c r="AV31" s="5">
        <f t="shared" si="16"/>
        <v>36807.880138078821</v>
      </c>
      <c r="AW31" s="5">
        <f t="shared" si="17"/>
        <v>137416.38095759851</v>
      </c>
      <c r="AX31" s="25" t="s">
        <v>97</v>
      </c>
      <c r="AY31" s="26">
        <v>44</v>
      </c>
      <c r="AZ31" s="26">
        <v>44</v>
      </c>
      <c r="BA31" s="25" t="s">
        <v>97</v>
      </c>
      <c r="BB31" s="12">
        <f t="shared" si="48"/>
        <v>73925.224627999996</v>
      </c>
      <c r="BC31" s="5">
        <f t="shared" si="49"/>
        <v>10305.16</v>
      </c>
      <c r="BD31" s="22">
        <f t="shared" si="50"/>
        <v>84230.384628</v>
      </c>
      <c r="BE31" s="118">
        <v>22503</v>
      </c>
      <c r="BF31" s="157">
        <f t="shared" si="21"/>
        <v>48029.897237186648</v>
      </c>
      <c r="BG31" s="118">
        <v>11318</v>
      </c>
      <c r="BH31" s="158">
        <f t="shared" si="22"/>
        <v>161965.28186518664</v>
      </c>
      <c r="BI31" s="123">
        <v>11737</v>
      </c>
      <c r="BJ31" s="124"/>
      <c r="BK31" s="125">
        <f t="shared" si="23"/>
        <v>170965.28186518664</v>
      </c>
      <c r="BM31" s="158">
        <f t="shared" si="24"/>
        <v>161965.28186518664</v>
      </c>
    </row>
    <row r="32" spans="1:65" ht="15" x14ac:dyDescent="0.25">
      <c r="A32" s="49"/>
      <c r="B32" s="48"/>
      <c r="C32" s="15"/>
      <c r="D32" s="23"/>
      <c r="E32" s="22"/>
      <c r="F32" s="22"/>
      <c r="G32" s="20"/>
      <c r="H32" s="21"/>
      <c r="I32" s="20"/>
      <c r="J32" s="20"/>
      <c r="K32" s="20"/>
      <c r="L32" s="20"/>
      <c r="M32" s="20"/>
      <c r="N32" s="20"/>
      <c r="O32" s="20"/>
      <c r="P32" s="20"/>
      <c r="Q32" s="96">
        <v>0</v>
      </c>
      <c r="R32" s="35"/>
      <c r="S32" s="34"/>
      <c r="T32" s="19"/>
      <c r="U32" s="18"/>
      <c r="V32" s="17"/>
      <c r="W32" s="5"/>
      <c r="X32" s="32"/>
      <c r="Z32" s="4"/>
      <c r="AA32" s="12"/>
      <c r="AD32" s="16"/>
      <c r="AE32" s="16"/>
      <c r="AG32" s="49"/>
      <c r="AH32" s="48"/>
      <c r="AI32" s="15"/>
      <c r="AJ32" s="16"/>
      <c r="AL32" s="30">
        <f t="shared" si="7"/>
        <v>0</v>
      </c>
      <c r="AM32" s="30">
        <f t="shared" si="8"/>
        <v>0</v>
      </c>
      <c r="AN32" s="28">
        <f t="shared" si="32"/>
        <v>4000</v>
      </c>
      <c r="AO32" s="29">
        <f t="shared" si="33"/>
        <v>4000</v>
      </c>
      <c r="AP32" s="28">
        <f t="shared" si="34"/>
        <v>1600</v>
      </c>
      <c r="AQ32" s="28">
        <f t="shared" si="35"/>
        <v>1000</v>
      </c>
      <c r="AR32" s="5">
        <f t="shared" si="36"/>
        <v>1200</v>
      </c>
      <c r="AS32" s="5">
        <f t="shared" si="37"/>
        <v>1600</v>
      </c>
      <c r="AT32" s="27" t="s">
        <v>76</v>
      </c>
      <c r="AU32" s="5">
        <f t="shared" si="15"/>
        <v>1000</v>
      </c>
      <c r="AV32" s="5">
        <f t="shared" si="16"/>
        <v>8000</v>
      </c>
      <c r="AW32" s="5">
        <f t="shared" si="17"/>
        <v>9000</v>
      </c>
      <c r="AX32" s="15"/>
      <c r="AY32" s="48"/>
      <c r="AZ32" s="48"/>
      <c r="BA32" s="15"/>
      <c r="BB32" s="12"/>
      <c r="BC32" s="5"/>
      <c r="BD32" s="22"/>
      <c r="BE32" s="118"/>
      <c r="BF32" s="157"/>
      <c r="BG32" s="118"/>
      <c r="BH32" s="158"/>
      <c r="BI32" s="123"/>
      <c r="BJ32" s="124"/>
      <c r="BK32" s="125"/>
      <c r="BM32" s="158"/>
    </row>
    <row r="33" spans="1:65" x14ac:dyDescent="0.2">
      <c r="A33" s="43" t="s">
        <v>96</v>
      </c>
      <c r="B33" s="42">
        <v>30</v>
      </c>
      <c r="C33" s="41" t="s">
        <v>94</v>
      </c>
      <c r="D33" s="89">
        <v>7555.93</v>
      </c>
      <c r="E33" s="91">
        <v>300</v>
      </c>
      <c r="F33" s="91">
        <v>1300</v>
      </c>
      <c r="G33" s="91">
        <v>442.85</v>
      </c>
      <c r="H33" s="92">
        <v>2418.38</v>
      </c>
      <c r="I33" s="91">
        <v>3053.2</v>
      </c>
      <c r="J33" s="91">
        <v>1671.9</v>
      </c>
      <c r="K33" s="91">
        <v>3631.2</v>
      </c>
      <c r="L33" s="91">
        <v>2695.86</v>
      </c>
      <c r="M33" s="91">
        <v>3406</v>
      </c>
      <c r="N33" s="91">
        <v>2856.71</v>
      </c>
      <c r="O33" s="91">
        <v>5866.41</v>
      </c>
      <c r="P33" s="91">
        <v>2264</v>
      </c>
      <c r="Q33" s="95">
        <v>14184.86</v>
      </c>
      <c r="R33" s="93">
        <f t="shared" ref="R33:R40" si="51">SUM(D33:Q33)*$R$1</f>
        <v>18045.566620000001</v>
      </c>
      <c r="S33" s="94">
        <f t="shared" ref="S33:S40" si="52">SUM(D33:R33)</f>
        <v>69692.866620000001</v>
      </c>
      <c r="T33" s="33"/>
      <c r="U33" s="18">
        <v>0.04</v>
      </c>
      <c r="V33" s="17"/>
      <c r="W33" s="5">
        <f t="shared" ref="W33:W40" si="53">+D33+E33+F33+G33+H33+I33+J33+K33+L33+M33+N33</f>
        <v>29332.030000000002</v>
      </c>
      <c r="X33" s="32">
        <v>7.7222496011493585E-2</v>
      </c>
      <c r="Y33" s="4">
        <f t="shared" ref="Y33:Y40" si="54">+W33*X33</f>
        <v>2265.0925696840104</v>
      </c>
      <c r="Z33" s="4">
        <f t="shared" ref="Z33:Z40" si="55">+P33-Y33</f>
        <v>-1.0925696840104138</v>
      </c>
      <c r="AA33" s="12"/>
      <c r="AD33" s="16">
        <f t="shared" ref="AD33:AD40" si="56">+R33*$AD$2</f>
        <v>15309.292630983131</v>
      </c>
      <c r="AE33" s="16">
        <f t="shared" ref="AE33:AE40" si="57">+S33+AD33</f>
        <v>85002.159250983124</v>
      </c>
      <c r="AG33" s="43" t="s">
        <v>96</v>
      </c>
      <c r="AH33" s="42">
        <v>30</v>
      </c>
      <c r="AI33" s="41" t="s">
        <v>94</v>
      </c>
      <c r="AJ33" s="16">
        <v>8406</v>
      </c>
      <c r="AL33" s="30">
        <f t="shared" si="7"/>
        <v>15309.292630983131</v>
      </c>
      <c r="AM33" s="30">
        <f t="shared" si="8"/>
        <v>85002.159250983124</v>
      </c>
      <c r="AN33" s="28">
        <f t="shared" si="32"/>
        <v>19309.292630983131</v>
      </c>
      <c r="AO33" s="29">
        <f t="shared" si="33"/>
        <v>89002.159250983124</v>
      </c>
      <c r="AP33" s="28">
        <f t="shared" si="34"/>
        <v>35600.863700393253</v>
      </c>
      <c r="AQ33" s="28">
        <f t="shared" si="35"/>
        <v>22250.539812745785</v>
      </c>
      <c r="AR33" s="5">
        <f t="shared" si="36"/>
        <v>26700.647775294939</v>
      </c>
      <c r="AS33" s="5">
        <f t="shared" si="37"/>
        <v>35600.863700393253</v>
      </c>
      <c r="AT33" s="27" t="s">
        <v>76</v>
      </c>
      <c r="AU33" s="5">
        <f t="shared" si="15"/>
        <v>83416.696432745783</v>
      </c>
      <c r="AV33" s="5">
        <f t="shared" si="16"/>
        <v>31836.00263098313</v>
      </c>
      <c r="AW33" s="5">
        <f t="shared" si="17"/>
        <v>115252.69906372891</v>
      </c>
      <c r="AX33" s="41" t="s">
        <v>94</v>
      </c>
      <c r="AY33" s="42">
        <v>30</v>
      </c>
      <c r="AZ33" s="42">
        <v>30</v>
      </c>
      <c r="BA33" s="41" t="s">
        <v>94</v>
      </c>
      <c r="BB33" s="12">
        <f t="shared" ref="BB33:BB40" si="58">+D33+E33+F33+G33+H33+I33+J33+K33+L33+O33+Q33+R33</f>
        <v>61166.156620000009</v>
      </c>
      <c r="BC33" s="5">
        <f t="shared" ref="BC33:BC40" si="59">+M33+N33+P33</f>
        <v>8526.7099999999991</v>
      </c>
      <c r="BD33" s="22">
        <f t="shared" ref="BD33:BD40" si="60">+BB33+BC33</f>
        <v>69692.866620000015</v>
      </c>
      <c r="BE33" s="118">
        <v>19309</v>
      </c>
      <c r="BF33" s="157">
        <f t="shared" si="21"/>
        <v>40050.971739437235</v>
      </c>
      <c r="BG33" s="118">
        <v>10076</v>
      </c>
      <c r="BH33" s="158">
        <f t="shared" si="22"/>
        <v>135722.83835943724</v>
      </c>
      <c r="BI33" s="123">
        <v>11264</v>
      </c>
      <c r="BJ33" s="124"/>
      <c r="BK33" s="125">
        <f t="shared" si="23"/>
        <v>144722.83835943724</v>
      </c>
      <c r="BM33" s="158">
        <f t="shared" si="24"/>
        <v>135722.83835943724</v>
      </c>
    </row>
    <row r="34" spans="1:65" x14ac:dyDescent="0.2">
      <c r="A34" s="31" t="s">
        <v>95</v>
      </c>
      <c r="B34" s="44">
        <v>15</v>
      </c>
      <c r="C34" s="47" t="s">
        <v>94</v>
      </c>
      <c r="D34" s="37">
        <v>3777.97</v>
      </c>
      <c r="E34" s="23">
        <v>300</v>
      </c>
      <c r="F34" s="23">
        <v>1300</v>
      </c>
      <c r="G34" s="20">
        <v>260.12</v>
      </c>
      <c r="H34" s="36">
        <v>2418.38</v>
      </c>
      <c r="I34" s="20">
        <v>3053.2</v>
      </c>
      <c r="J34" s="20">
        <v>1101.78</v>
      </c>
      <c r="K34" s="20">
        <v>1816.2</v>
      </c>
      <c r="L34" s="20">
        <v>1945.55</v>
      </c>
      <c r="M34" s="20">
        <v>1703</v>
      </c>
      <c r="N34" s="20">
        <v>1991.91</v>
      </c>
      <c r="O34" s="20">
        <v>3933.62</v>
      </c>
      <c r="P34" s="20">
        <v>1313</v>
      </c>
      <c r="Q34" s="97">
        <v>9433.6</v>
      </c>
      <c r="R34" s="35">
        <f t="shared" si="51"/>
        <v>12001.306501999998</v>
      </c>
      <c r="S34" s="34">
        <f t="shared" si="52"/>
        <v>46349.636501999994</v>
      </c>
      <c r="T34" s="33"/>
      <c r="U34" s="18">
        <v>0.04</v>
      </c>
      <c r="V34" s="17"/>
      <c r="W34" s="5">
        <f t="shared" si="53"/>
        <v>19668.109999999997</v>
      </c>
      <c r="X34" s="32">
        <v>6.5524609393215805E-2</v>
      </c>
      <c r="Y34" s="4">
        <f t="shared" si="54"/>
        <v>1288.7452252528014</v>
      </c>
      <c r="Z34" s="40">
        <f t="shared" si="55"/>
        <v>24.254774747198553</v>
      </c>
      <c r="AA34" s="12"/>
      <c r="AD34" s="16">
        <f t="shared" si="56"/>
        <v>10181.53195531183</v>
      </c>
      <c r="AE34" s="16">
        <f t="shared" si="57"/>
        <v>56531.168457311825</v>
      </c>
      <c r="AG34" s="31" t="s">
        <v>95</v>
      </c>
      <c r="AH34" s="44">
        <v>15</v>
      </c>
      <c r="AI34" s="47" t="s">
        <v>94</v>
      </c>
      <c r="AJ34" s="16">
        <v>6703</v>
      </c>
      <c r="AL34" s="30">
        <f t="shared" si="7"/>
        <v>10181.53195531183</v>
      </c>
      <c r="AM34" s="30">
        <f t="shared" si="8"/>
        <v>56531.168457311825</v>
      </c>
      <c r="AN34" s="28">
        <f t="shared" si="32"/>
        <v>14181.53195531183</v>
      </c>
      <c r="AO34" s="29">
        <f t="shared" si="33"/>
        <v>60531.168457311825</v>
      </c>
      <c r="AP34" s="28">
        <f t="shared" si="34"/>
        <v>24212.467382924733</v>
      </c>
      <c r="AQ34" s="28">
        <f t="shared" si="35"/>
        <v>15132.792114327956</v>
      </c>
      <c r="AR34" s="5">
        <f t="shared" si="36"/>
        <v>18159.350537193546</v>
      </c>
      <c r="AS34" s="5">
        <f t="shared" si="37"/>
        <v>24212.467382924729</v>
      </c>
      <c r="AT34" s="27" t="s">
        <v>76</v>
      </c>
      <c r="AU34" s="5">
        <f t="shared" si="15"/>
        <v>56474.518616327958</v>
      </c>
      <c r="AV34" s="5">
        <f t="shared" si="16"/>
        <v>23189.441955311828</v>
      </c>
      <c r="AW34" s="5">
        <f t="shared" si="17"/>
        <v>79663.960571639793</v>
      </c>
      <c r="AX34" s="47" t="s">
        <v>94</v>
      </c>
      <c r="AY34" s="44">
        <v>15</v>
      </c>
      <c r="AZ34" s="44">
        <v>15</v>
      </c>
      <c r="BA34" s="47" t="s">
        <v>94</v>
      </c>
      <c r="BB34" s="12">
        <f t="shared" si="58"/>
        <v>41341.726501999998</v>
      </c>
      <c r="BC34" s="5">
        <f t="shared" si="59"/>
        <v>5007.91</v>
      </c>
      <c r="BD34" s="22">
        <f t="shared" si="60"/>
        <v>46349.636501999994</v>
      </c>
      <c r="BE34" s="118">
        <v>14182</v>
      </c>
      <c r="BF34" s="157">
        <f t="shared" si="21"/>
        <v>27239.025856663633</v>
      </c>
      <c r="BG34" s="118">
        <v>7519</v>
      </c>
      <c r="BH34" s="158">
        <f t="shared" si="22"/>
        <v>93586.662358663627</v>
      </c>
      <c r="BI34" s="123">
        <v>10313</v>
      </c>
      <c r="BJ34" s="124"/>
      <c r="BK34" s="125">
        <f t="shared" si="23"/>
        <v>102586.66235866363</v>
      </c>
      <c r="BM34" s="158">
        <f t="shared" si="24"/>
        <v>93586.662358663627</v>
      </c>
    </row>
    <row r="35" spans="1:65" x14ac:dyDescent="0.2">
      <c r="A35" s="31" t="s">
        <v>95</v>
      </c>
      <c r="B35" s="26">
        <v>24</v>
      </c>
      <c r="C35" s="47" t="s">
        <v>94</v>
      </c>
      <c r="D35" s="37">
        <v>6044.74</v>
      </c>
      <c r="E35" s="23">
        <v>300</v>
      </c>
      <c r="F35" s="23">
        <v>1300</v>
      </c>
      <c r="G35" s="20">
        <v>369.76</v>
      </c>
      <c r="H35" s="36">
        <v>2418.38</v>
      </c>
      <c r="I35" s="20">
        <v>3053.2</v>
      </c>
      <c r="J35" s="20">
        <v>1443.85</v>
      </c>
      <c r="K35" s="20">
        <v>3631.2</v>
      </c>
      <c r="L35" s="20">
        <v>2395.73</v>
      </c>
      <c r="M35" s="20">
        <v>3087</v>
      </c>
      <c r="N35" s="20">
        <v>2588.85</v>
      </c>
      <c r="O35" s="20">
        <v>5326.54</v>
      </c>
      <c r="P35" s="20">
        <v>2056</v>
      </c>
      <c r="Q35" s="97">
        <v>12879.46</v>
      </c>
      <c r="R35" s="35">
        <f t="shared" si="51"/>
        <v>16385.011673999998</v>
      </c>
      <c r="S35" s="34">
        <f t="shared" si="52"/>
        <v>63279.721674</v>
      </c>
      <c r="T35" s="33"/>
      <c r="U35" s="18">
        <v>0.04</v>
      </c>
      <c r="V35" s="17"/>
      <c r="W35" s="5">
        <f t="shared" si="53"/>
        <v>26632.71</v>
      </c>
      <c r="X35" s="32">
        <v>7.7195064770917768E-2</v>
      </c>
      <c r="Y35" s="4">
        <f t="shared" si="54"/>
        <v>2055.9137734750693</v>
      </c>
      <c r="Z35" s="4">
        <f t="shared" si="55"/>
        <v>8.6226524930680171E-2</v>
      </c>
      <c r="AA35" s="12"/>
      <c r="AD35" s="16">
        <f t="shared" si="56"/>
        <v>13900.529906405383</v>
      </c>
      <c r="AE35" s="16">
        <f t="shared" si="57"/>
        <v>77180.251580405384</v>
      </c>
      <c r="AG35" s="31" t="s">
        <v>95</v>
      </c>
      <c r="AH35" s="26">
        <v>24</v>
      </c>
      <c r="AI35" s="47" t="s">
        <v>94</v>
      </c>
      <c r="AJ35" s="16">
        <v>8087</v>
      </c>
      <c r="AL35" s="30">
        <f t="shared" si="7"/>
        <v>13900.529906405383</v>
      </c>
      <c r="AM35" s="30">
        <f t="shared" si="8"/>
        <v>77180.251580405384</v>
      </c>
      <c r="AN35" s="28">
        <f t="shared" si="32"/>
        <v>17900.529906405383</v>
      </c>
      <c r="AO35" s="29">
        <f t="shared" si="33"/>
        <v>81180.251580405384</v>
      </c>
      <c r="AP35" s="28">
        <f t="shared" si="34"/>
        <v>32472.100632162153</v>
      </c>
      <c r="AQ35" s="28">
        <f t="shared" si="35"/>
        <v>20295.062895101346</v>
      </c>
      <c r="AR35" s="5">
        <f t="shared" si="36"/>
        <v>24354.075474121611</v>
      </c>
      <c r="AS35" s="5">
        <f t="shared" si="37"/>
        <v>32472.10063216215</v>
      </c>
      <c r="AT35" s="27" t="s">
        <v>76</v>
      </c>
      <c r="AU35" s="5">
        <f t="shared" si="15"/>
        <v>75842.934569101344</v>
      </c>
      <c r="AV35" s="5">
        <f t="shared" si="16"/>
        <v>29632.379906405382</v>
      </c>
      <c r="AW35" s="5">
        <f t="shared" si="17"/>
        <v>105475.31447550672</v>
      </c>
      <c r="AX35" s="47" t="s">
        <v>94</v>
      </c>
      <c r="AY35" s="26">
        <v>24</v>
      </c>
      <c r="AZ35" s="26">
        <v>24</v>
      </c>
      <c r="BA35" s="47" t="s">
        <v>94</v>
      </c>
      <c r="BB35" s="12">
        <f t="shared" si="58"/>
        <v>55547.871673999995</v>
      </c>
      <c r="BC35" s="5">
        <f t="shared" si="59"/>
        <v>7731.85</v>
      </c>
      <c r="BD35" s="22">
        <f t="shared" si="60"/>
        <v>63279.721673999993</v>
      </c>
      <c r="BE35" s="118">
        <v>17901</v>
      </c>
      <c r="BF35" s="157">
        <f t="shared" si="21"/>
        <v>36531.113280638179</v>
      </c>
      <c r="BG35" s="118">
        <v>9522</v>
      </c>
      <c r="BH35" s="158">
        <f t="shared" si="22"/>
        <v>124146.83495463818</v>
      </c>
      <c r="BI35" s="123">
        <v>11056</v>
      </c>
      <c r="BJ35" s="124"/>
      <c r="BK35" s="125">
        <f t="shared" si="23"/>
        <v>133146.83495463818</v>
      </c>
      <c r="BM35" s="158">
        <f t="shared" si="24"/>
        <v>124146.83495463818</v>
      </c>
    </row>
    <row r="36" spans="1:65" x14ac:dyDescent="0.2">
      <c r="A36" s="31" t="s">
        <v>95</v>
      </c>
      <c r="B36" s="26">
        <v>28</v>
      </c>
      <c r="C36" s="47" t="s">
        <v>94</v>
      </c>
      <c r="D36" s="37">
        <v>7052.2</v>
      </c>
      <c r="E36" s="23">
        <v>300</v>
      </c>
      <c r="F36" s="23">
        <v>1300</v>
      </c>
      <c r="G36" s="20">
        <v>418.49</v>
      </c>
      <c r="H36" s="36">
        <v>2418.38</v>
      </c>
      <c r="I36" s="20">
        <v>3053.2</v>
      </c>
      <c r="J36" s="20">
        <v>1595.88</v>
      </c>
      <c r="K36" s="20">
        <v>3631.2</v>
      </c>
      <c r="L36" s="20">
        <v>2595.8200000000002</v>
      </c>
      <c r="M36" s="20">
        <v>3300</v>
      </c>
      <c r="N36" s="20">
        <v>2767.43</v>
      </c>
      <c r="O36" s="20">
        <v>5686.52</v>
      </c>
      <c r="P36" s="20">
        <v>2195</v>
      </c>
      <c r="Q36" s="97">
        <v>13749.89</v>
      </c>
      <c r="R36" s="35">
        <f t="shared" si="51"/>
        <v>17492.365094000001</v>
      </c>
      <c r="S36" s="34">
        <f t="shared" si="52"/>
        <v>67556.375094000003</v>
      </c>
      <c r="T36" s="33"/>
      <c r="U36" s="18">
        <v>0.04</v>
      </c>
      <c r="V36" s="17"/>
      <c r="W36" s="5">
        <f t="shared" si="53"/>
        <v>28432.600000000002</v>
      </c>
      <c r="X36" s="32">
        <v>7.7225904853054236E-2</v>
      </c>
      <c r="Y36" s="4">
        <f t="shared" si="54"/>
        <v>2195.7332623249499</v>
      </c>
      <c r="Z36" s="4">
        <f t="shared" si="55"/>
        <v>-0.73326232494991928</v>
      </c>
      <c r="AA36" s="12"/>
      <c r="AD36" s="16">
        <f t="shared" si="56"/>
        <v>14839.973810256601</v>
      </c>
      <c r="AE36" s="16">
        <f t="shared" si="57"/>
        <v>82396.348904256607</v>
      </c>
      <c r="AG36" s="31" t="s">
        <v>95</v>
      </c>
      <c r="AH36" s="26">
        <v>28</v>
      </c>
      <c r="AI36" s="47" t="s">
        <v>94</v>
      </c>
      <c r="AJ36" s="16">
        <v>8300</v>
      </c>
      <c r="AL36" s="30">
        <f t="shared" si="7"/>
        <v>14839.973810256601</v>
      </c>
      <c r="AM36" s="30">
        <f t="shared" si="8"/>
        <v>82396.348904256607</v>
      </c>
      <c r="AN36" s="28">
        <f t="shared" si="32"/>
        <v>18839.973810256601</v>
      </c>
      <c r="AO36" s="29">
        <f t="shared" si="33"/>
        <v>86396.348904256607</v>
      </c>
      <c r="AP36" s="28">
        <f t="shared" si="34"/>
        <v>34558.539561702644</v>
      </c>
      <c r="AQ36" s="28">
        <f t="shared" si="35"/>
        <v>21599.087226064152</v>
      </c>
      <c r="AR36" s="5">
        <f t="shared" si="36"/>
        <v>25918.904671276981</v>
      </c>
      <c r="AS36" s="5">
        <f t="shared" si="37"/>
        <v>34558.539561702644</v>
      </c>
      <c r="AT36" s="27" t="s">
        <v>76</v>
      </c>
      <c r="AU36" s="5">
        <f t="shared" si="15"/>
        <v>80893.032320064158</v>
      </c>
      <c r="AV36" s="5">
        <f t="shared" si="16"/>
        <v>31102.403810256601</v>
      </c>
      <c r="AW36" s="5">
        <f t="shared" si="17"/>
        <v>111995.43613032076</v>
      </c>
      <c r="AX36" s="47" t="s">
        <v>94</v>
      </c>
      <c r="AY36" s="26">
        <v>28</v>
      </c>
      <c r="AZ36" s="26">
        <v>28</v>
      </c>
      <c r="BA36" s="47" t="s">
        <v>94</v>
      </c>
      <c r="BB36" s="12">
        <f t="shared" si="58"/>
        <v>59293.945094000002</v>
      </c>
      <c r="BC36" s="5">
        <f t="shared" si="59"/>
        <v>8262.43</v>
      </c>
      <c r="BD36" s="22">
        <f t="shared" si="60"/>
        <v>67556.375094000003</v>
      </c>
      <c r="BE36" s="118">
        <v>18840</v>
      </c>
      <c r="BF36" s="157">
        <f t="shared" si="21"/>
        <v>38878.357081065282</v>
      </c>
      <c r="BG36" s="118">
        <v>9892</v>
      </c>
      <c r="BH36" s="158">
        <f t="shared" si="22"/>
        <v>131866.73217506529</v>
      </c>
      <c r="BI36" s="123">
        <v>11195</v>
      </c>
      <c r="BJ36" s="124"/>
      <c r="BK36" s="125">
        <f t="shared" si="23"/>
        <v>140866.73217506529</v>
      </c>
      <c r="BM36" s="158">
        <f t="shared" si="24"/>
        <v>131866.73217506529</v>
      </c>
    </row>
    <row r="37" spans="1:65" x14ac:dyDescent="0.2">
      <c r="A37" s="31" t="s">
        <v>95</v>
      </c>
      <c r="B37" s="26">
        <v>35</v>
      </c>
      <c r="C37" s="47" t="s">
        <v>94</v>
      </c>
      <c r="D37" s="37">
        <v>8815.25</v>
      </c>
      <c r="E37" s="23">
        <v>300</v>
      </c>
      <c r="F37" s="23">
        <v>1300</v>
      </c>
      <c r="G37" s="20">
        <v>503.76</v>
      </c>
      <c r="H37" s="36">
        <v>2418.38</v>
      </c>
      <c r="I37" s="20">
        <v>3053.2</v>
      </c>
      <c r="J37" s="20">
        <v>1861.94</v>
      </c>
      <c r="K37" s="20">
        <v>3631.2</v>
      </c>
      <c r="L37" s="20">
        <v>2945.96</v>
      </c>
      <c r="M37" s="20">
        <v>3672</v>
      </c>
      <c r="N37" s="20">
        <v>3079.94</v>
      </c>
      <c r="O37" s="20">
        <v>6316.33</v>
      </c>
      <c r="P37" s="20">
        <v>2438</v>
      </c>
      <c r="Q37" s="97">
        <v>15272.77</v>
      </c>
      <c r="R37" s="35">
        <f t="shared" si="51"/>
        <v>19429.690261999996</v>
      </c>
      <c r="S37" s="34">
        <f t="shared" si="52"/>
        <v>75038.420262</v>
      </c>
      <c r="T37" s="33"/>
      <c r="U37" s="18">
        <v>0.04</v>
      </c>
      <c r="V37" s="17"/>
      <c r="W37" s="5">
        <f t="shared" si="53"/>
        <v>31581.629999999997</v>
      </c>
      <c r="X37" s="32">
        <v>7.7207057250464173E-2</v>
      </c>
      <c r="Y37" s="4">
        <f t="shared" si="54"/>
        <v>2438.3247154729765</v>
      </c>
      <c r="Z37" s="4">
        <f t="shared" si="55"/>
        <v>-0.32471547297654979</v>
      </c>
      <c r="AA37" s="12"/>
      <c r="AD37" s="16">
        <f t="shared" si="56"/>
        <v>16483.539708897279</v>
      </c>
      <c r="AE37" s="16">
        <f t="shared" si="57"/>
        <v>91521.959970897282</v>
      </c>
      <c r="AG37" s="31" t="s">
        <v>95</v>
      </c>
      <c r="AH37" s="26">
        <v>35</v>
      </c>
      <c r="AI37" s="47" t="s">
        <v>94</v>
      </c>
      <c r="AJ37" s="16">
        <v>8672</v>
      </c>
      <c r="AL37" s="30">
        <f t="shared" si="7"/>
        <v>16483.539708897279</v>
      </c>
      <c r="AM37" s="30">
        <f t="shared" si="8"/>
        <v>91521.959970897282</v>
      </c>
      <c r="AN37" s="28">
        <f t="shared" si="32"/>
        <v>20483.539708897279</v>
      </c>
      <c r="AO37" s="29">
        <f t="shared" si="33"/>
        <v>95521.959970897282</v>
      </c>
      <c r="AP37" s="28">
        <f t="shared" si="34"/>
        <v>38208.783988358911</v>
      </c>
      <c r="AQ37" s="28">
        <f t="shared" si="35"/>
        <v>23880.489992724317</v>
      </c>
      <c r="AR37" s="5">
        <f t="shared" si="36"/>
        <v>28656.587991269178</v>
      </c>
      <c r="AS37" s="5">
        <f t="shared" si="37"/>
        <v>38208.783988358904</v>
      </c>
      <c r="AT37" s="27" t="s">
        <v>76</v>
      </c>
      <c r="AU37" s="5">
        <f t="shared" si="15"/>
        <v>89728.970254724307</v>
      </c>
      <c r="AV37" s="5">
        <f t="shared" si="16"/>
        <v>33673.479708897277</v>
      </c>
      <c r="AW37" s="5">
        <f t="shared" si="17"/>
        <v>123402.44996362159</v>
      </c>
      <c r="AX37" s="47" t="s">
        <v>94</v>
      </c>
      <c r="AY37" s="26">
        <v>35</v>
      </c>
      <c r="AZ37" s="26">
        <v>35</v>
      </c>
      <c r="BA37" s="47" t="s">
        <v>94</v>
      </c>
      <c r="BB37" s="12">
        <f t="shared" si="58"/>
        <v>65848.480261999997</v>
      </c>
      <c r="BC37" s="5">
        <f t="shared" si="59"/>
        <v>9189.94</v>
      </c>
      <c r="BD37" s="22">
        <f t="shared" si="60"/>
        <v>75038.420262</v>
      </c>
      <c r="BE37" s="118">
        <v>20484</v>
      </c>
      <c r="BF37" s="157">
        <f t="shared" si="21"/>
        <v>42984.882069265863</v>
      </c>
      <c r="BG37" s="118">
        <v>10538</v>
      </c>
      <c r="BH37" s="158">
        <f t="shared" si="22"/>
        <v>145373.30233126588</v>
      </c>
      <c r="BI37" s="123">
        <v>11438</v>
      </c>
      <c r="BJ37" s="124"/>
      <c r="BK37" s="125">
        <f t="shared" si="23"/>
        <v>154373.30233126588</v>
      </c>
      <c r="BM37" s="158">
        <f t="shared" si="24"/>
        <v>145373.30233126588</v>
      </c>
    </row>
    <row r="38" spans="1:65" x14ac:dyDescent="0.2">
      <c r="A38" s="31" t="s">
        <v>95</v>
      </c>
      <c r="B38" s="26">
        <v>36</v>
      </c>
      <c r="C38" s="47" t="s">
        <v>94</v>
      </c>
      <c r="D38" s="37">
        <v>9067.1200000000008</v>
      </c>
      <c r="E38" s="23">
        <v>300</v>
      </c>
      <c r="F38" s="23">
        <v>1300</v>
      </c>
      <c r="G38" s="20">
        <v>515.94000000000005</v>
      </c>
      <c r="H38" s="36">
        <v>2418.38</v>
      </c>
      <c r="I38" s="20">
        <v>3053.2</v>
      </c>
      <c r="J38" s="20">
        <v>1899.95</v>
      </c>
      <c r="K38" s="20">
        <v>4071.34</v>
      </c>
      <c r="L38" s="20">
        <v>2995.98</v>
      </c>
      <c r="M38" s="20">
        <v>3782</v>
      </c>
      <c r="N38" s="20">
        <v>3171.91</v>
      </c>
      <c r="O38" s="20">
        <v>6515.16</v>
      </c>
      <c r="P38" s="20">
        <v>2515</v>
      </c>
      <c r="Q38" s="97">
        <v>15753.65</v>
      </c>
      <c r="R38" s="35">
        <f t="shared" si="51"/>
        <v>20041.454722000002</v>
      </c>
      <c r="S38" s="34">
        <f t="shared" si="52"/>
        <v>77401.084722</v>
      </c>
      <c r="T38" s="33"/>
      <c r="U38" s="18">
        <v>0.04</v>
      </c>
      <c r="V38" s="17"/>
      <c r="W38" s="5">
        <f t="shared" si="53"/>
        <v>32575.820000000003</v>
      </c>
      <c r="X38" s="32">
        <v>7.7204223183347451E-2</v>
      </c>
      <c r="Y38" s="4">
        <f t="shared" si="54"/>
        <v>2514.9908776605539</v>
      </c>
      <c r="Z38" s="4">
        <f t="shared" si="55"/>
        <v>9.1223394460939744E-3</v>
      </c>
      <c r="AA38" s="12"/>
      <c r="AD38" s="16">
        <f t="shared" si="56"/>
        <v>17002.541485710171</v>
      </c>
      <c r="AE38" s="16">
        <f t="shared" si="57"/>
        <v>94403.626207710171</v>
      </c>
      <c r="AG38" s="31" t="s">
        <v>95</v>
      </c>
      <c r="AH38" s="26">
        <v>36</v>
      </c>
      <c r="AI38" s="47" t="s">
        <v>94</v>
      </c>
      <c r="AJ38" s="16">
        <v>8782</v>
      </c>
      <c r="AL38" s="30">
        <f t="shared" ref="AL38:AL69" si="61">+R38*$AL$2</f>
        <v>17002.541485710171</v>
      </c>
      <c r="AM38" s="30">
        <f t="shared" ref="AM38:AM69" si="62">+S38+AL38</f>
        <v>94403.626207710171</v>
      </c>
      <c r="AN38" s="28">
        <f t="shared" si="32"/>
        <v>21002.541485710171</v>
      </c>
      <c r="AO38" s="29">
        <f t="shared" si="33"/>
        <v>98403.626207710171</v>
      </c>
      <c r="AP38" s="28">
        <f t="shared" si="34"/>
        <v>39361.450483084074</v>
      </c>
      <c r="AQ38" s="28">
        <f t="shared" si="35"/>
        <v>24600.906551927546</v>
      </c>
      <c r="AR38" s="5">
        <f t="shared" si="36"/>
        <v>29521.087862313052</v>
      </c>
      <c r="AS38" s="5">
        <f t="shared" si="37"/>
        <v>39361.450483084074</v>
      </c>
      <c r="AT38" s="27" t="s">
        <v>76</v>
      </c>
      <c r="AU38" s="5">
        <f t="shared" ref="AU38:AU69" si="63">+D38+G38+H38+I38+J38+K38+L38+O38+Q38+R38+AQ38+E38+F38</f>
        <v>92533.081273927542</v>
      </c>
      <c r="AV38" s="5">
        <f t="shared" ref="AV38:AV69" si="64">+M38+N38+P38+AN38+4000</f>
        <v>34471.451485710175</v>
      </c>
      <c r="AW38" s="5">
        <f t="shared" ref="AW38:AW69" si="65">+AU38+AV38</f>
        <v>127004.53275963772</v>
      </c>
      <c r="AX38" s="47" t="s">
        <v>94</v>
      </c>
      <c r="AY38" s="26">
        <v>36</v>
      </c>
      <c r="AZ38" s="26">
        <v>36</v>
      </c>
      <c r="BA38" s="47" t="s">
        <v>94</v>
      </c>
      <c r="BB38" s="12">
        <f t="shared" si="58"/>
        <v>67932.174721999996</v>
      </c>
      <c r="BC38" s="5">
        <f t="shared" si="59"/>
        <v>9468.91</v>
      </c>
      <c r="BD38" s="22">
        <f t="shared" si="60"/>
        <v>77401.084722</v>
      </c>
      <c r="BE38" s="118">
        <v>21003</v>
      </c>
      <c r="BF38" s="157">
        <f t="shared" si="21"/>
        <v>44281.631878424931</v>
      </c>
      <c r="BG38" s="118">
        <v>10734</v>
      </c>
      <c r="BH38" s="158">
        <f t="shared" si="22"/>
        <v>149637.71660042493</v>
      </c>
      <c r="BI38" s="123">
        <v>11515</v>
      </c>
      <c r="BJ38" s="124"/>
      <c r="BK38" s="125">
        <f t="shared" si="23"/>
        <v>158637.71660042493</v>
      </c>
      <c r="BM38" s="158">
        <f t="shared" si="24"/>
        <v>149637.71660042493</v>
      </c>
    </row>
    <row r="39" spans="1:65" x14ac:dyDescent="0.2">
      <c r="A39" s="31" t="s">
        <v>95</v>
      </c>
      <c r="B39" s="26">
        <v>40</v>
      </c>
      <c r="C39" s="47" t="s">
        <v>94</v>
      </c>
      <c r="D39" s="37">
        <v>10074.57</v>
      </c>
      <c r="E39" s="23">
        <v>300</v>
      </c>
      <c r="F39" s="23">
        <v>1300</v>
      </c>
      <c r="G39" s="20">
        <v>564.66999999999996</v>
      </c>
      <c r="H39" s="36">
        <v>2902.06</v>
      </c>
      <c r="I39" s="20">
        <v>3391.78</v>
      </c>
      <c r="J39" s="20">
        <v>2110.02</v>
      </c>
      <c r="K39" s="20">
        <v>4511.49</v>
      </c>
      <c r="L39" s="20">
        <v>3333.47</v>
      </c>
      <c r="M39" s="20">
        <v>4205</v>
      </c>
      <c r="N39" s="20">
        <v>3527.01</v>
      </c>
      <c r="O39" s="20">
        <v>7244.01</v>
      </c>
      <c r="P39" s="20">
        <v>2796</v>
      </c>
      <c r="Q39" s="97">
        <v>17516.099999999999</v>
      </c>
      <c r="R39" s="35">
        <f t="shared" si="51"/>
        <v>22283.397291999998</v>
      </c>
      <c r="S39" s="34">
        <f t="shared" si="52"/>
        <v>86059.577292000002</v>
      </c>
      <c r="T39" s="33"/>
      <c r="U39" s="18">
        <v>0.04</v>
      </c>
      <c r="V39" s="17"/>
      <c r="W39" s="5">
        <f t="shared" si="53"/>
        <v>36220.07</v>
      </c>
      <c r="X39" s="32">
        <v>7.7219135131333536E-2</v>
      </c>
      <c r="Y39" s="4">
        <f t="shared" si="54"/>
        <v>2796.8824797963598</v>
      </c>
      <c r="Z39" s="4">
        <f t="shared" si="55"/>
        <v>-0.882479796359803</v>
      </c>
      <c r="AA39" s="12"/>
      <c r="AD39" s="16">
        <f t="shared" si="56"/>
        <v>18904.535232359747</v>
      </c>
      <c r="AE39" s="16">
        <f t="shared" si="57"/>
        <v>104964.11252435975</v>
      </c>
      <c r="AG39" s="31" t="s">
        <v>95</v>
      </c>
      <c r="AH39" s="26">
        <v>40</v>
      </c>
      <c r="AI39" s="47" t="s">
        <v>94</v>
      </c>
      <c r="AJ39" s="16">
        <v>9205</v>
      </c>
      <c r="AL39" s="30">
        <f t="shared" si="61"/>
        <v>18904.535232359747</v>
      </c>
      <c r="AM39" s="30">
        <f t="shared" si="62"/>
        <v>104964.11252435975</v>
      </c>
      <c r="AN39" s="28">
        <f t="shared" si="32"/>
        <v>22904.535232359747</v>
      </c>
      <c r="AO39" s="29">
        <f t="shared" si="33"/>
        <v>108964.11252435975</v>
      </c>
      <c r="AP39" s="28">
        <f t="shared" si="34"/>
        <v>43585.645009743901</v>
      </c>
      <c r="AQ39" s="28">
        <f t="shared" si="35"/>
        <v>27241.028131089937</v>
      </c>
      <c r="AR39" s="5">
        <f t="shared" si="36"/>
        <v>32689.23375730792</v>
      </c>
      <c r="AS39" s="5">
        <f t="shared" si="37"/>
        <v>43585.645009743894</v>
      </c>
      <c r="AT39" s="27" t="s">
        <v>76</v>
      </c>
      <c r="AU39" s="5">
        <f t="shared" si="63"/>
        <v>102772.59542308992</v>
      </c>
      <c r="AV39" s="5">
        <f t="shared" si="64"/>
        <v>37432.545232359749</v>
      </c>
      <c r="AW39" s="5">
        <f t="shared" si="65"/>
        <v>140205.14065544968</v>
      </c>
      <c r="AX39" s="47" t="s">
        <v>94</v>
      </c>
      <c r="AY39" s="26">
        <v>40</v>
      </c>
      <c r="AZ39" s="26">
        <v>40</v>
      </c>
      <c r="BA39" s="47" t="s">
        <v>94</v>
      </c>
      <c r="BB39" s="12">
        <f t="shared" si="58"/>
        <v>75531.567291999992</v>
      </c>
      <c r="BC39" s="5">
        <f t="shared" si="59"/>
        <v>10528.01</v>
      </c>
      <c r="BD39" s="22">
        <f t="shared" si="60"/>
        <v>86059.577291999987</v>
      </c>
      <c r="BE39" s="118">
        <v>22905</v>
      </c>
      <c r="BF39" s="157">
        <f t="shared" si="21"/>
        <v>49033.850730420789</v>
      </c>
      <c r="BG39" s="118">
        <v>11474</v>
      </c>
      <c r="BH39" s="158">
        <f t="shared" si="22"/>
        <v>165267.42802242079</v>
      </c>
      <c r="BI39" s="123">
        <v>11796</v>
      </c>
      <c r="BJ39" s="124"/>
      <c r="BK39" s="125">
        <f t="shared" si="23"/>
        <v>174267.42802242079</v>
      </c>
      <c r="BM39" s="158">
        <f t="shared" si="24"/>
        <v>165267.42802242079</v>
      </c>
    </row>
    <row r="40" spans="1:65" x14ac:dyDescent="0.2">
      <c r="A40" s="31" t="s">
        <v>95</v>
      </c>
      <c r="B40" s="26">
        <v>44</v>
      </c>
      <c r="C40" s="47" t="s">
        <v>94</v>
      </c>
      <c r="D40" s="37">
        <v>11082.03</v>
      </c>
      <c r="E40" s="23">
        <v>300</v>
      </c>
      <c r="F40" s="23">
        <v>1300</v>
      </c>
      <c r="G40" s="20">
        <v>613.4</v>
      </c>
      <c r="H40" s="36">
        <v>2902.06</v>
      </c>
      <c r="I40" s="20">
        <v>3391.78</v>
      </c>
      <c r="J40" s="20">
        <v>2262.0500000000002</v>
      </c>
      <c r="K40" s="20">
        <v>4787.18</v>
      </c>
      <c r="L40" s="20">
        <v>3533.55</v>
      </c>
      <c r="M40" s="20">
        <v>4454</v>
      </c>
      <c r="N40" s="20">
        <v>3735.23</v>
      </c>
      <c r="O40" s="20">
        <v>7672.26</v>
      </c>
      <c r="P40" s="20">
        <v>2961</v>
      </c>
      <c r="Q40" s="97">
        <v>18551.34</v>
      </c>
      <c r="R40" s="35">
        <f t="shared" si="51"/>
        <v>23600.530472000002</v>
      </c>
      <c r="S40" s="34">
        <f t="shared" si="52"/>
        <v>91146.410472000003</v>
      </c>
      <c r="T40" s="33"/>
      <c r="U40" s="18">
        <v>0.04</v>
      </c>
      <c r="V40" s="17"/>
      <c r="W40" s="5">
        <f t="shared" si="53"/>
        <v>38361.280000000006</v>
      </c>
      <c r="X40" s="32">
        <v>7.7211165668783333E-2</v>
      </c>
      <c r="Y40" s="4">
        <f t="shared" si="54"/>
        <v>2961.9191453465851</v>
      </c>
      <c r="Z40" s="4">
        <f t="shared" si="55"/>
        <v>-0.91914534658508273</v>
      </c>
      <c r="AA40" s="12"/>
      <c r="AD40" s="16">
        <f t="shared" si="56"/>
        <v>20021.949703803893</v>
      </c>
      <c r="AE40" s="16">
        <f t="shared" si="57"/>
        <v>111168.3601758039</v>
      </c>
      <c r="AG40" s="31" t="s">
        <v>95</v>
      </c>
      <c r="AH40" s="26">
        <v>44</v>
      </c>
      <c r="AI40" s="47" t="s">
        <v>94</v>
      </c>
      <c r="AJ40" s="16">
        <v>9454</v>
      </c>
      <c r="AL40" s="30">
        <f t="shared" si="61"/>
        <v>20021.949703803893</v>
      </c>
      <c r="AM40" s="30">
        <f t="shared" si="62"/>
        <v>111168.3601758039</v>
      </c>
      <c r="AN40" s="28">
        <f t="shared" si="32"/>
        <v>24021.949703803893</v>
      </c>
      <c r="AO40" s="29">
        <f t="shared" si="33"/>
        <v>115168.3601758039</v>
      </c>
      <c r="AP40" s="28">
        <f t="shared" si="34"/>
        <v>46067.34407032156</v>
      </c>
      <c r="AQ40" s="28">
        <f t="shared" si="35"/>
        <v>28792.090043950975</v>
      </c>
      <c r="AR40" s="5">
        <f t="shared" si="36"/>
        <v>34550.50805274117</v>
      </c>
      <c r="AS40" s="5">
        <f t="shared" si="37"/>
        <v>46067.34407032156</v>
      </c>
      <c r="AT40" s="27" t="s">
        <v>76</v>
      </c>
      <c r="AU40" s="5">
        <f t="shared" si="63"/>
        <v>108788.27051595096</v>
      </c>
      <c r="AV40" s="5">
        <f t="shared" si="64"/>
        <v>39172.179703803893</v>
      </c>
      <c r="AW40" s="5">
        <f t="shared" si="65"/>
        <v>147960.45021975486</v>
      </c>
      <c r="AX40" s="47" t="s">
        <v>94</v>
      </c>
      <c r="AY40" s="26">
        <v>44</v>
      </c>
      <c r="AZ40" s="26">
        <v>44</v>
      </c>
      <c r="BA40" s="47" t="s">
        <v>94</v>
      </c>
      <c r="BB40" s="12">
        <f t="shared" si="58"/>
        <v>79996.180471999993</v>
      </c>
      <c r="BC40" s="5">
        <f t="shared" si="59"/>
        <v>11150.23</v>
      </c>
      <c r="BD40" s="22">
        <f t="shared" si="60"/>
        <v>91146.410471999989</v>
      </c>
      <c r="BE40" s="118">
        <v>24022</v>
      </c>
      <c r="BF40" s="157">
        <f t="shared" si="21"/>
        <v>51825.762179153964</v>
      </c>
      <c r="BG40" s="118">
        <v>11909</v>
      </c>
      <c r="BH40" s="158">
        <f t="shared" si="22"/>
        <v>174449.17265115396</v>
      </c>
      <c r="BI40" s="123">
        <v>11961</v>
      </c>
      <c r="BJ40" s="124"/>
      <c r="BK40" s="125">
        <f t="shared" si="23"/>
        <v>183449.17265115396</v>
      </c>
      <c r="BM40" s="158">
        <f t="shared" si="24"/>
        <v>174449.17265115396</v>
      </c>
    </row>
    <row r="41" spans="1:65" ht="15" x14ac:dyDescent="0.25">
      <c r="A41" s="31"/>
      <c r="B41" s="26"/>
      <c r="C41" s="15"/>
      <c r="D41" s="23"/>
      <c r="E41" s="22"/>
      <c r="F41" s="22"/>
      <c r="G41" s="20"/>
      <c r="H41" s="21"/>
      <c r="I41" s="20"/>
      <c r="J41" s="20"/>
      <c r="K41" s="20"/>
      <c r="L41" s="20"/>
      <c r="M41" s="20"/>
      <c r="N41" s="20"/>
      <c r="O41" s="20"/>
      <c r="P41" s="20"/>
      <c r="Q41" s="96">
        <v>0</v>
      </c>
      <c r="R41" s="35"/>
      <c r="S41" s="34"/>
      <c r="T41" s="19"/>
      <c r="U41" s="18"/>
      <c r="V41" s="17"/>
      <c r="W41" s="5"/>
      <c r="X41" s="32"/>
      <c r="Z41" s="4"/>
      <c r="AA41" s="12"/>
      <c r="AD41" s="16"/>
      <c r="AE41" s="16"/>
      <c r="AG41" s="31"/>
      <c r="AH41" s="26"/>
      <c r="AI41" s="15"/>
      <c r="AJ41" s="16"/>
      <c r="AL41" s="30">
        <f t="shared" si="61"/>
        <v>0</v>
      </c>
      <c r="AM41" s="30">
        <f t="shared" si="62"/>
        <v>0</v>
      </c>
      <c r="AN41" s="28">
        <f t="shared" si="32"/>
        <v>4000</v>
      </c>
      <c r="AO41" s="29">
        <f t="shared" si="33"/>
        <v>4000</v>
      </c>
      <c r="AP41" s="28">
        <f t="shared" si="34"/>
        <v>1600</v>
      </c>
      <c r="AQ41" s="28">
        <f t="shared" si="35"/>
        <v>1000</v>
      </c>
      <c r="AR41" s="5">
        <f t="shared" si="36"/>
        <v>1200</v>
      </c>
      <c r="AS41" s="5">
        <f t="shared" si="37"/>
        <v>1600</v>
      </c>
      <c r="AT41" s="27" t="s">
        <v>76</v>
      </c>
      <c r="AU41" s="5">
        <f t="shared" si="63"/>
        <v>1000</v>
      </c>
      <c r="AV41" s="5">
        <f t="shared" si="64"/>
        <v>8000</v>
      </c>
      <c r="AW41" s="5">
        <f t="shared" si="65"/>
        <v>9000</v>
      </c>
      <c r="AX41" s="15"/>
      <c r="AY41" s="26"/>
      <c r="AZ41" s="26"/>
      <c r="BA41" s="15"/>
      <c r="BB41" s="12"/>
      <c r="BC41" s="5"/>
      <c r="BD41" s="22"/>
      <c r="BE41" s="118"/>
      <c r="BF41" s="157"/>
      <c r="BG41" s="118"/>
      <c r="BH41" s="158"/>
      <c r="BI41" s="123"/>
      <c r="BJ41" s="124"/>
      <c r="BK41" s="125"/>
      <c r="BM41" s="158"/>
    </row>
    <row r="42" spans="1:65" x14ac:dyDescent="0.2">
      <c r="A42" s="43" t="s">
        <v>93</v>
      </c>
      <c r="B42" s="42">
        <v>30</v>
      </c>
      <c r="C42" s="98" t="s">
        <v>91</v>
      </c>
      <c r="D42" s="89">
        <v>8671.2999999999993</v>
      </c>
      <c r="E42" s="91">
        <v>300</v>
      </c>
      <c r="F42" s="91">
        <v>1300</v>
      </c>
      <c r="G42" s="91">
        <v>745.2</v>
      </c>
      <c r="H42" s="92">
        <v>2418.38</v>
      </c>
      <c r="I42" s="91">
        <v>3165.66</v>
      </c>
      <c r="J42" s="91">
        <v>1870.02</v>
      </c>
      <c r="K42" s="91">
        <v>4071.34</v>
      </c>
      <c r="L42" s="91">
        <v>2979.34</v>
      </c>
      <c r="M42" s="91">
        <v>3767</v>
      </c>
      <c r="N42" s="91">
        <v>3159.19</v>
      </c>
      <c r="O42" s="91">
        <v>6489.49</v>
      </c>
      <c r="P42" s="91">
        <v>2505</v>
      </c>
      <c r="Q42" s="95">
        <v>15691.62</v>
      </c>
      <c r="R42" s="93">
        <f t="shared" ref="R42:R49" si="66">SUM(D42:Q42)*$R$1</f>
        <v>19962.458876000001</v>
      </c>
      <c r="S42" s="94">
        <f t="shared" ref="S42:S49" si="67">SUM(D42:R42)</f>
        <v>77095.998875999998</v>
      </c>
      <c r="T42" s="33"/>
      <c r="U42" s="18">
        <v>0.06</v>
      </c>
      <c r="V42" s="17"/>
      <c r="W42" s="5">
        <f t="shared" ref="W42:W49" si="68">+D42+E42+F42+G42+H42+I42+J42+K42+L42+M42+N42</f>
        <v>32447.43</v>
      </c>
      <c r="X42" s="32">
        <v>7.7222496011493585E-2</v>
      </c>
      <c r="Y42" s="4">
        <f t="shared" ref="Y42:Y49" si="69">+W42*X42</f>
        <v>2505.6715337582173</v>
      </c>
      <c r="Z42" s="4">
        <f t="shared" ref="Z42:Z49" si="70">+P42-Y42</f>
        <v>-0.67153375821726513</v>
      </c>
      <c r="AA42" s="12"/>
      <c r="AD42" s="16">
        <f t="shared" ref="AD42:AD49" si="71">+R42*$AD$2</f>
        <v>16935.523888063461</v>
      </c>
      <c r="AE42" s="16">
        <f t="shared" ref="AE42:AE49" si="72">+S42+AD42</f>
        <v>94031.522764063455</v>
      </c>
      <c r="AG42" s="43" t="s">
        <v>93</v>
      </c>
      <c r="AH42" s="42">
        <v>30</v>
      </c>
      <c r="AI42" s="41" t="s">
        <v>91</v>
      </c>
      <c r="AJ42" s="16">
        <v>8767</v>
      </c>
      <c r="AL42" s="30">
        <f t="shared" si="61"/>
        <v>16935.523888063461</v>
      </c>
      <c r="AM42" s="30">
        <f t="shared" si="62"/>
        <v>94031.522764063455</v>
      </c>
      <c r="AN42" s="28">
        <f t="shared" si="32"/>
        <v>20935.523888063461</v>
      </c>
      <c r="AO42" s="29">
        <f t="shared" si="33"/>
        <v>98031.522764063455</v>
      </c>
      <c r="AP42" s="28">
        <f t="shared" si="34"/>
        <v>39212.609105625386</v>
      </c>
      <c r="AQ42" s="28">
        <f t="shared" si="35"/>
        <v>24507.880691015867</v>
      </c>
      <c r="AR42" s="5">
        <f t="shared" si="36"/>
        <v>29409.456829219038</v>
      </c>
      <c r="AS42" s="5">
        <f t="shared" si="37"/>
        <v>39212.609105625386</v>
      </c>
      <c r="AT42" s="27" t="s">
        <v>76</v>
      </c>
      <c r="AU42" s="5">
        <f t="shared" si="63"/>
        <v>92172.689567015885</v>
      </c>
      <c r="AV42" s="5">
        <f t="shared" si="64"/>
        <v>34366.713888063459</v>
      </c>
      <c r="AW42" s="5">
        <f t="shared" si="65"/>
        <v>126539.40345507934</v>
      </c>
      <c r="AX42" s="41" t="s">
        <v>91</v>
      </c>
      <c r="AY42" s="42">
        <v>30</v>
      </c>
      <c r="AZ42" s="42">
        <v>30</v>
      </c>
      <c r="BA42" s="41" t="s">
        <v>91</v>
      </c>
      <c r="BB42" s="12">
        <f t="shared" ref="BB42:BB49" si="73">+D42+E42+F42+G42+H42+I42+J42+K42+L42+O42+Q42+R42</f>
        <v>67664.80887600001</v>
      </c>
      <c r="BC42" s="5">
        <f t="shared" ref="BC42:BC49" si="74">+M42+N42+P42</f>
        <v>9431.19</v>
      </c>
      <c r="BD42" s="22">
        <f t="shared" ref="BD42:BD49" si="75">+BB42+BC42</f>
        <v>77095.998876000012</v>
      </c>
      <c r="BE42" s="118">
        <v>20936</v>
      </c>
      <c r="BF42" s="157">
        <f t="shared" si="21"/>
        <v>44114.18532844905</v>
      </c>
      <c r="BG42" s="118">
        <v>10708</v>
      </c>
      <c r="BH42" s="158">
        <f t="shared" si="22"/>
        <v>149087.18420444906</v>
      </c>
      <c r="BI42" s="123">
        <v>11505</v>
      </c>
      <c r="BJ42" s="124"/>
      <c r="BK42" s="125">
        <f t="shared" si="23"/>
        <v>158087.18420444906</v>
      </c>
      <c r="BM42" s="158">
        <f t="shared" si="24"/>
        <v>149087.18420444906</v>
      </c>
    </row>
    <row r="43" spans="1:65" x14ac:dyDescent="0.2">
      <c r="A43" s="31" t="s">
        <v>92</v>
      </c>
      <c r="B43" s="44">
        <v>15</v>
      </c>
      <c r="C43" s="25" t="s">
        <v>91</v>
      </c>
      <c r="D43" s="37">
        <v>4335.6499999999996</v>
      </c>
      <c r="E43" s="23">
        <v>300</v>
      </c>
      <c r="F43" s="23">
        <v>1300</v>
      </c>
      <c r="G43" s="20">
        <v>430.64</v>
      </c>
      <c r="H43" s="36">
        <v>2418.38</v>
      </c>
      <c r="I43" s="20">
        <v>3165.66</v>
      </c>
      <c r="J43" s="20">
        <v>1203.1600000000001</v>
      </c>
      <c r="K43" s="20">
        <v>2036.28</v>
      </c>
      <c r="L43" s="20">
        <v>2098.7600000000002</v>
      </c>
      <c r="M43" s="20">
        <v>1883</v>
      </c>
      <c r="N43" s="20">
        <v>2154.5100000000002</v>
      </c>
      <c r="O43" s="20">
        <v>4265.21</v>
      </c>
      <c r="P43" s="20">
        <v>1436</v>
      </c>
      <c r="Q43" s="97">
        <v>10233.700000000001</v>
      </c>
      <c r="R43" s="35">
        <f t="shared" si="66"/>
        <v>13018.975929999999</v>
      </c>
      <c r="S43" s="34">
        <f t="shared" si="67"/>
        <v>50279.925929999998</v>
      </c>
      <c r="T43" s="33"/>
      <c r="U43" s="18">
        <v>0.06</v>
      </c>
      <c r="V43" s="17"/>
      <c r="W43" s="5">
        <f t="shared" si="68"/>
        <v>21326.04</v>
      </c>
      <c r="X43" s="32">
        <v>6.5524609393215805E-2</v>
      </c>
      <c r="Y43" s="4">
        <f t="shared" si="69"/>
        <v>1397.3804409040961</v>
      </c>
      <c r="Z43" s="40">
        <f t="shared" si="70"/>
        <v>38.619559095903924</v>
      </c>
      <c r="AA43" s="12"/>
      <c r="AD43" s="16">
        <f t="shared" si="71"/>
        <v>11044.890773737074</v>
      </c>
      <c r="AE43" s="16">
        <f t="shared" si="72"/>
        <v>61324.816703737073</v>
      </c>
      <c r="AG43" s="31" t="s">
        <v>92</v>
      </c>
      <c r="AH43" s="44">
        <v>15</v>
      </c>
      <c r="AI43" s="25" t="s">
        <v>91</v>
      </c>
      <c r="AJ43" s="16">
        <v>6883</v>
      </c>
      <c r="AL43" s="30">
        <f t="shared" si="61"/>
        <v>11044.890773737074</v>
      </c>
      <c r="AM43" s="30">
        <f t="shared" si="62"/>
        <v>61324.816703737073</v>
      </c>
      <c r="AN43" s="28">
        <f t="shared" si="32"/>
        <v>15044.890773737074</v>
      </c>
      <c r="AO43" s="29">
        <f t="shared" si="33"/>
        <v>65324.816703737073</v>
      </c>
      <c r="AP43" s="28">
        <f t="shared" si="34"/>
        <v>26129.926681494831</v>
      </c>
      <c r="AQ43" s="28">
        <f t="shared" si="35"/>
        <v>16331.204175934268</v>
      </c>
      <c r="AR43" s="5">
        <f t="shared" si="36"/>
        <v>19597.445011121119</v>
      </c>
      <c r="AS43" s="5">
        <f t="shared" si="37"/>
        <v>26129.926681494828</v>
      </c>
      <c r="AT43" s="27" t="s">
        <v>76</v>
      </c>
      <c r="AU43" s="5">
        <f t="shared" si="63"/>
        <v>61137.620105934271</v>
      </c>
      <c r="AV43" s="5">
        <f t="shared" si="64"/>
        <v>24518.400773737074</v>
      </c>
      <c r="AW43" s="5">
        <f t="shared" si="65"/>
        <v>85656.020879671341</v>
      </c>
      <c r="AX43" s="25" t="s">
        <v>91</v>
      </c>
      <c r="AY43" s="44">
        <v>15</v>
      </c>
      <c r="AZ43" s="44">
        <v>15</v>
      </c>
      <c r="BA43" s="25" t="s">
        <v>91</v>
      </c>
      <c r="BB43" s="12">
        <f t="shared" si="73"/>
        <v>44806.415929999996</v>
      </c>
      <c r="BC43" s="5">
        <f t="shared" si="74"/>
        <v>5473.51</v>
      </c>
      <c r="BD43" s="22">
        <f t="shared" si="75"/>
        <v>50279.925929999998</v>
      </c>
      <c r="BE43" s="118">
        <v>15045</v>
      </c>
      <c r="BF43" s="157">
        <f t="shared" si="21"/>
        <v>29396.167571868878</v>
      </c>
      <c r="BG43" s="118">
        <v>7843</v>
      </c>
      <c r="BH43" s="158">
        <f t="shared" si="22"/>
        <v>100681.09350186888</v>
      </c>
      <c r="BI43" s="123">
        <v>10436</v>
      </c>
      <c r="BJ43" s="124"/>
      <c r="BK43" s="125">
        <f t="shared" si="23"/>
        <v>109681.09350186888</v>
      </c>
      <c r="BM43" s="158">
        <f t="shared" si="24"/>
        <v>100681.09350186888</v>
      </c>
    </row>
    <row r="44" spans="1:65" x14ac:dyDescent="0.2">
      <c r="A44" s="31" t="s">
        <v>92</v>
      </c>
      <c r="B44" s="26">
        <v>24</v>
      </c>
      <c r="C44" s="25" t="s">
        <v>91</v>
      </c>
      <c r="D44" s="37">
        <v>6937.04</v>
      </c>
      <c r="E44" s="23">
        <v>300</v>
      </c>
      <c r="F44" s="23">
        <v>1300</v>
      </c>
      <c r="G44" s="20">
        <v>619.37</v>
      </c>
      <c r="H44" s="36">
        <v>2418.38</v>
      </c>
      <c r="I44" s="20">
        <v>3165.66</v>
      </c>
      <c r="J44" s="20">
        <v>1603.28</v>
      </c>
      <c r="K44" s="20">
        <v>4071.34</v>
      </c>
      <c r="L44" s="20">
        <v>2627.11</v>
      </c>
      <c r="M44" s="20">
        <v>3392</v>
      </c>
      <c r="N44" s="20">
        <v>2844.84</v>
      </c>
      <c r="O44" s="20">
        <v>5855.8</v>
      </c>
      <c r="P44" s="20">
        <v>2260</v>
      </c>
      <c r="Q44" s="97">
        <v>14159.27</v>
      </c>
      <c r="R44" s="35">
        <f t="shared" si="66"/>
        <v>18012.999045999997</v>
      </c>
      <c r="S44" s="34">
        <f t="shared" si="67"/>
        <v>69567.089045999994</v>
      </c>
      <c r="T44" s="33"/>
      <c r="U44" s="18">
        <v>0.06</v>
      </c>
      <c r="V44" s="17"/>
      <c r="W44" s="5">
        <f t="shared" si="68"/>
        <v>29279.02</v>
      </c>
      <c r="X44" s="32">
        <v>7.7195064770917768E-2</v>
      </c>
      <c r="Y44" s="4">
        <f t="shared" si="69"/>
        <v>2260.1958453289967</v>
      </c>
      <c r="Z44" s="4">
        <f t="shared" si="70"/>
        <v>-0.19584532899671103</v>
      </c>
      <c r="AA44" s="12"/>
      <c r="AD44" s="16">
        <f t="shared" si="71"/>
        <v>15281.663322846323</v>
      </c>
      <c r="AE44" s="16">
        <f t="shared" si="72"/>
        <v>84848.752368846312</v>
      </c>
      <c r="AG44" s="31" t="s">
        <v>92</v>
      </c>
      <c r="AH44" s="26">
        <v>24</v>
      </c>
      <c r="AI44" s="25" t="s">
        <v>91</v>
      </c>
      <c r="AJ44" s="16">
        <v>8392</v>
      </c>
      <c r="AL44" s="30">
        <f t="shared" si="61"/>
        <v>15281.663322846323</v>
      </c>
      <c r="AM44" s="30">
        <f t="shared" si="62"/>
        <v>84848.752368846312</v>
      </c>
      <c r="AN44" s="28">
        <f t="shared" si="32"/>
        <v>19281.663322846325</v>
      </c>
      <c r="AO44" s="29">
        <f t="shared" si="33"/>
        <v>88848.752368846326</v>
      </c>
      <c r="AP44" s="28">
        <f t="shared" si="34"/>
        <v>35539.50094753853</v>
      </c>
      <c r="AQ44" s="28">
        <f t="shared" si="35"/>
        <v>22212.188092211578</v>
      </c>
      <c r="AR44" s="5">
        <f t="shared" si="36"/>
        <v>26654.625710653894</v>
      </c>
      <c r="AS44" s="5">
        <f t="shared" si="37"/>
        <v>35539.500947538523</v>
      </c>
      <c r="AT44" s="27" t="s">
        <v>76</v>
      </c>
      <c r="AU44" s="5">
        <f t="shared" si="63"/>
        <v>83282.437138211579</v>
      </c>
      <c r="AV44" s="5">
        <f t="shared" si="64"/>
        <v>31778.503322846325</v>
      </c>
      <c r="AW44" s="5">
        <f t="shared" si="65"/>
        <v>115060.94046105791</v>
      </c>
      <c r="AX44" s="25" t="s">
        <v>91</v>
      </c>
      <c r="AY44" s="26">
        <v>24</v>
      </c>
      <c r="AZ44" s="26">
        <v>24</v>
      </c>
      <c r="BA44" s="25" t="s">
        <v>91</v>
      </c>
      <c r="BB44" s="12">
        <f t="shared" si="73"/>
        <v>61070.249045999997</v>
      </c>
      <c r="BC44" s="5">
        <f t="shared" si="74"/>
        <v>8496.84</v>
      </c>
      <c r="BD44" s="22">
        <f t="shared" si="75"/>
        <v>69567.089045999994</v>
      </c>
      <c r="BE44" s="118">
        <v>19282</v>
      </c>
      <c r="BF44" s="157">
        <f t="shared" si="21"/>
        <v>39981.938642337605</v>
      </c>
      <c r="BG44" s="118">
        <v>10057</v>
      </c>
      <c r="BH44" s="158">
        <f t="shared" si="22"/>
        <v>135496.02768833761</v>
      </c>
      <c r="BI44" s="123">
        <v>11260</v>
      </c>
      <c r="BJ44" s="124"/>
      <c r="BK44" s="125">
        <f t="shared" si="23"/>
        <v>144496.02768833761</v>
      </c>
      <c r="BM44" s="158">
        <f t="shared" si="24"/>
        <v>135496.02768833761</v>
      </c>
    </row>
    <row r="45" spans="1:65" x14ac:dyDescent="0.2">
      <c r="A45" s="31" t="s">
        <v>92</v>
      </c>
      <c r="B45" s="26">
        <v>28</v>
      </c>
      <c r="C45" s="25" t="s">
        <v>91</v>
      </c>
      <c r="D45" s="37">
        <v>8093.21</v>
      </c>
      <c r="E45" s="23">
        <v>300</v>
      </c>
      <c r="F45" s="23">
        <v>1300</v>
      </c>
      <c r="G45" s="20">
        <v>703.26</v>
      </c>
      <c r="H45" s="36">
        <v>2418.38</v>
      </c>
      <c r="I45" s="20">
        <v>3165.66</v>
      </c>
      <c r="J45" s="20">
        <v>1781.11</v>
      </c>
      <c r="K45" s="20">
        <v>4071.34</v>
      </c>
      <c r="L45" s="20">
        <v>2861.93</v>
      </c>
      <c r="M45" s="20">
        <v>3642</v>
      </c>
      <c r="N45" s="20">
        <v>3054.41</v>
      </c>
      <c r="O45" s="20">
        <v>6278.26</v>
      </c>
      <c r="P45" s="20">
        <v>2424</v>
      </c>
      <c r="Q45" s="97">
        <v>15180.97</v>
      </c>
      <c r="R45" s="35">
        <f t="shared" si="66"/>
        <v>19312.920781999997</v>
      </c>
      <c r="S45" s="34">
        <f t="shared" si="67"/>
        <v>74587.450782</v>
      </c>
      <c r="T45" s="33"/>
      <c r="U45" s="18">
        <v>0.06</v>
      </c>
      <c r="V45" s="17"/>
      <c r="W45" s="5">
        <f t="shared" si="68"/>
        <v>31391.3</v>
      </c>
      <c r="X45" s="32">
        <v>7.7225904853054236E-2</v>
      </c>
      <c r="Y45" s="4">
        <f t="shared" si="69"/>
        <v>2424.2215470136812</v>
      </c>
      <c r="Z45" s="4">
        <f t="shared" si="70"/>
        <v>-0.22154701368117458</v>
      </c>
      <c r="AA45" s="12"/>
      <c r="AD45" s="16">
        <f t="shared" si="71"/>
        <v>16384.476145123866</v>
      </c>
      <c r="AE45" s="16">
        <f t="shared" si="72"/>
        <v>90971.926927123859</v>
      </c>
      <c r="AG45" s="31" t="s">
        <v>92</v>
      </c>
      <c r="AH45" s="26">
        <v>28</v>
      </c>
      <c r="AI45" s="25" t="s">
        <v>91</v>
      </c>
      <c r="AJ45" s="16">
        <v>8642</v>
      </c>
      <c r="AL45" s="30">
        <f t="shared" si="61"/>
        <v>16384.476145123866</v>
      </c>
      <c r="AM45" s="30">
        <f t="shared" si="62"/>
        <v>90971.926927123859</v>
      </c>
      <c r="AN45" s="28">
        <f t="shared" si="32"/>
        <v>20384.476145123866</v>
      </c>
      <c r="AO45" s="29">
        <f t="shared" si="33"/>
        <v>94971.926927123859</v>
      </c>
      <c r="AP45" s="28">
        <f t="shared" si="34"/>
        <v>37988.770770849544</v>
      </c>
      <c r="AQ45" s="28">
        <f t="shared" si="35"/>
        <v>23742.981731780965</v>
      </c>
      <c r="AR45" s="5">
        <f t="shared" si="36"/>
        <v>28491.578078137158</v>
      </c>
      <c r="AS45" s="5">
        <f t="shared" si="37"/>
        <v>37988.770770849544</v>
      </c>
      <c r="AT45" s="27" t="s">
        <v>76</v>
      </c>
      <c r="AU45" s="5">
        <f t="shared" si="63"/>
        <v>89210.022513780961</v>
      </c>
      <c r="AV45" s="5">
        <f t="shared" si="64"/>
        <v>33504.886145123863</v>
      </c>
      <c r="AW45" s="5">
        <f t="shared" si="65"/>
        <v>122714.90865890482</v>
      </c>
      <c r="AX45" s="25" t="s">
        <v>91</v>
      </c>
      <c r="AY45" s="26">
        <v>28</v>
      </c>
      <c r="AZ45" s="26">
        <v>28</v>
      </c>
      <c r="BA45" s="25" t="s">
        <v>91</v>
      </c>
      <c r="BB45" s="12">
        <f t="shared" si="73"/>
        <v>65467.040781999996</v>
      </c>
      <c r="BC45" s="5">
        <f t="shared" si="74"/>
        <v>9120.41</v>
      </c>
      <c r="BD45" s="22">
        <f t="shared" si="75"/>
        <v>74587.450782</v>
      </c>
      <c r="BE45" s="118">
        <v>20384</v>
      </c>
      <c r="BF45" s="157">
        <f t="shared" si="21"/>
        <v>42737.367199072847</v>
      </c>
      <c r="BG45" s="118">
        <v>10491</v>
      </c>
      <c r="BH45" s="158">
        <f t="shared" si="22"/>
        <v>144557.81798107285</v>
      </c>
      <c r="BI45" s="123">
        <v>11424</v>
      </c>
      <c r="BJ45" s="124"/>
      <c r="BK45" s="125">
        <f t="shared" si="23"/>
        <v>153557.81798107285</v>
      </c>
      <c r="BM45" s="158">
        <f t="shared" si="24"/>
        <v>144557.81798107285</v>
      </c>
    </row>
    <row r="46" spans="1:65" x14ac:dyDescent="0.2">
      <c r="A46" s="31" t="s">
        <v>92</v>
      </c>
      <c r="B46" s="26">
        <v>35</v>
      </c>
      <c r="C46" s="25" t="s">
        <v>91</v>
      </c>
      <c r="D46" s="37">
        <v>10116.52</v>
      </c>
      <c r="E46" s="23">
        <v>300</v>
      </c>
      <c r="F46" s="23">
        <v>1300</v>
      </c>
      <c r="G46" s="20">
        <v>850.05</v>
      </c>
      <c r="H46" s="36">
        <v>2418.38</v>
      </c>
      <c r="I46" s="20">
        <v>3165.66</v>
      </c>
      <c r="J46" s="20">
        <v>2092.31</v>
      </c>
      <c r="K46" s="20">
        <v>4071.34</v>
      </c>
      <c r="L46" s="20">
        <v>3272.87</v>
      </c>
      <c r="M46" s="20">
        <v>4079</v>
      </c>
      <c r="N46" s="20">
        <v>3421.16</v>
      </c>
      <c r="O46" s="20">
        <v>7017.46</v>
      </c>
      <c r="P46" s="20">
        <v>2708</v>
      </c>
      <c r="Q46" s="97">
        <v>16968.02</v>
      </c>
      <c r="R46" s="35">
        <f t="shared" si="66"/>
        <v>21586.201037999999</v>
      </c>
      <c r="S46" s="34">
        <f t="shared" si="67"/>
        <v>83366.971038000003</v>
      </c>
      <c r="T46" s="33"/>
      <c r="U46" s="18">
        <v>0.06</v>
      </c>
      <c r="V46" s="17"/>
      <c r="W46" s="5">
        <f t="shared" si="68"/>
        <v>35087.29</v>
      </c>
      <c r="X46" s="32">
        <v>7.7207057250464173E-2</v>
      </c>
      <c r="Y46" s="4">
        <f t="shared" si="69"/>
        <v>2708.986407793639</v>
      </c>
      <c r="Z46" s="4">
        <f t="shared" si="70"/>
        <v>-0.98640779363904585</v>
      </c>
      <c r="AA46" s="12"/>
      <c r="AD46" s="16">
        <f t="shared" si="71"/>
        <v>18313.055801512637</v>
      </c>
      <c r="AE46" s="16">
        <f t="shared" si="72"/>
        <v>101680.02683951263</v>
      </c>
      <c r="AG46" s="31" t="s">
        <v>92</v>
      </c>
      <c r="AH46" s="26">
        <v>35</v>
      </c>
      <c r="AI46" s="25" t="s">
        <v>91</v>
      </c>
      <c r="AJ46" s="16">
        <v>9079</v>
      </c>
      <c r="AL46" s="30">
        <f t="shared" si="61"/>
        <v>18313.055801512637</v>
      </c>
      <c r="AM46" s="30">
        <f t="shared" si="62"/>
        <v>101680.02683951263</v>
      </c>
      <c r="AN46" s="28">
        <f t="shared" si="32"/>
        <v>22313.055801512637</v>
      </c>
      <c r="AO46" s="29">
        <f t="shared" si="33"/>
        <v>105680.02683951263</v>
      </c>
      <c r="AP46" s="28">
        <f t="shared" si="34"/>
        <v>42272.010735805059</v>
      </c>
      <c r="AQ46" s="28">
        <f t="shared" si="35"/>
        <v>26420.006709878158</v>
      </c>
      <c r="AR46" s="5">
        <f t="shared" si="36"/>
        <v>31704.008051853791</v>
      </c>
      <c r="AS46" s="5">
        <f t="shared" si="37"/>
        <v>42272.010735805052</v>
      </c>
      <c r="AT46" s="27" t="s">
        <v>76</v>
      </c>
      <c r="AU46" s="5">
        <f t="shared" si="63"/>
        <v>99578.817747878158</v>
      </c>
      <c r="AV46" s="5">
        <f t="shared" si="64"/>
        <v>36521.215801512633</v>
      </c>
      <c r="AW46" s="5">
        <f t="shared" si="65"/>
        <v>136100.03354939079</v>
      </c>
      <c r="AX46" s="25" t="s">
        <v>91</v>
      </c>
      <c r="AY46" s="26">
        <v>35</v>
      </c>
      <c r="AZ46" s="26">
        <v>35</v>
      </c>
      <c r="BA46" s="25" t="s">
        <v>91</v>
      </c>
      <c r="BB46" s="12">
        <f t="shared" si="73"/>
        <v>73158.811038</v>
      </c>
      <c r="BC46" s="5">
        <f t="shared" si="74"/>
        <v>10208.16</v>
      </c>
      <c r="BD46" s="22">
        <f t="shared" si="75"/>
        <v>83366.971038000003</v>
      </c>
      <c r="BE46" s="118">
        <v>22313</v>
      </c>
      <c r="BF46" s="157">
        <f t="shared" si="21"/>
        <v>47556.012169284186</v>
      </c>
      <c r="BG46" s="118">
        <v>11249</v>
      </c>
      <c r="BH46" s="158">
        <f t="shared" si="22"/>
        <v>160405.98320728418</v>
      </c>
      <c r="BI46" s="123">
        <v>11708</v>
      </c>
      <c r="BJ46" s="124"/>
      <c r="BK46" s="125">
        <f t="shared" si="23"/>
        <v>169405.98320728418</v>
      </c>
      <c r="BM46" s="158">
        <f t="shared" si="24"/>
        <v>160405.98320728418</v>
      </c>
    </row>
    <row r="47" spans="1:65" x14ac:dyDescent="0.2">
      <c r="A47" s="31" t="s">
        <v>92</v>
      </c>
      <c r="B47" s="26">
        <v>36</v>
      </c>
      <c r="C47" s="25" t="s">
        <v>91</v>
      </c>
      <c r="D47" s="37">
        <v>10405.56</v>
      </c>
      <c r="E47" s="23">
        <v>300</v>
      </c>
      <c r="F47" s="23">
        <v>1300</v>
      </c>
      <c r="G47" s="20">
        <v>871.02</v>
      </c>
      <c r="H47" s="36">
        <v>2418.38</v>
      </c>
      <c r="I47" s="20">
        <v>3165.66</v>
      </c>
      <c r="J47" s="20">
        <v>2136.77</v>
      </c>
      <c r="K47" s="20">
        <v>4511.49</v>
      </c>
      <c r="L47" s="20">
        <v>3331.57</v>
      </c>
      <c r="M47" s="20">
        <v>4198</v>
      </c>
      <c r="N47" s="20">
        <v>3520.87</v>
      </c>
      <c r="O47" s="20">
        <v>7231.86</v>
      </c>
      <c r="P47" s="20">
        <v>2791</v>
      </c>
      <c r="Q47" s="97">
        <v>17486.5</v>
      </c>
      <c r="R47" s="35">
        <f t="shared" si="66"/>
        <v>22245.836791999998</v>
      </c>
      <c r="S47" s="34">
        <f t="shared" si="67"/>
        <v>85914.516791999995</v>
      </c>
      <c r="T47" s="33"/>
      <c r="U47" s="18">
        <v>0.06</v>
      </c>
      <c r="V47" s="17"/>
      <c r="W47" s="5">
        <f t="shared" si="68"/>
        <v>36159.32</v>
      </c>
      <c r="X47" s="32">
        <v>7.7204223183347451E-2</v>
      </c>
      <c r="Y47" s="4">
        <f t="shared" si="69"/>
        <v>2791.6522114380791</v>
      </c>
      <c r="Z47" s="4">
        <f t="shared" si="70"/>
        <v>-0.65221143807912085</v>
      </c>
      <c r="AA47" s="12"/>
      <c r="AD47" s="16">
        <f t="shared" si="71"/>
        <v>18872.670082432633</v>
      </c>
      <c r="AE47" s="16">
        <f t="shared" si="72"/>
        <v>104787.18687443263</v>
      </c>
      <c r="AG47" s="31" t="s">
        <v>92</v>
      </c>
      <c r="AH47" s="26">
        <v>36</v>
      </c>
      <c r="AI47" s="25" t="s">
        <v>91</v>
      </c>
      <c r="AJ47" s="16">
        <v>9198</v>
      </c>
      <c r="AL47" s="30">
        <f t="shared" si="61"/>
        <v>18872.670082432633</v>
      </c>
      <c r="AM47" s="30">
        <f t="shared" si="62"/>
        <v>104787.18687443263</v>
      </c>
      <c r="AN47" s="28">
        <f t="shared" ref="AN47:AN78" si="76">+AL47+4000</f>
        <v>22872.670082432633</v>
      </c>
      <c r="AO47" s="29">
        <f t="shared" ref="AO47:AO78" si="77">+S47+AN47</f>
        <v>108787.18687443263</v>
      </c>
      <c r="AP47" s="28">
        <f t="shared" ref="AP47:AP78" si="78">+AO47*$AP$5</f>
        <v>43514.874749773058</v>
      </c>
      <c r="AQ47" s="28">
        <f t="shared" ref="AQ47:AQ78" si="79">+R47*$AQ$2+1000</f>
        <v>27196.796718608159</v>
      </c>
      <c r="AR47" s="5">
        <f t="shared" ref="AR47:AR78" si="80">+R47*$AR$2+$AR$1</f>
        <v>32636.156062329788</v>
      </c>
      <c r="AS47" s="5">
        <f t="shared" ref="AS47:AS78" si="81">+R47*$AS$2+$AS$1</f>
        <v>43514.874749773051</v>
      </c>
      <c r="AT47" s="27" t="s">
        <v>76</v>
      </c>
      <c r="AU47" s="5">
        <f t="shared" si="63"/>
        <v>102601.44351060817</v>
      </c>
      <c r="AV47" s="5">
        <f t="shared" si="64"/>
        <v>37382.540082432635</v>
      </c>
      <c r="AW47" s="5">
        <f t="shared" si="65"/>
        <v>139983.98359304079</v>
      </c>
      <c r="AX47" s="25" t="s">
        <v>91</v>
      </c>
      <c r="AY47" s="26">
        <v>36</v>
      </c>
      <c r="AZ47" s="26">
        <v>36</v>
      </c>
      <c r="BA47" s="25" t="s">
        <v>91</v>
      </c>
      <c r="BB47" s="12">
        <f t="shared" si="73"/>
        <v>75404.646792</v>
      </c>
      <c r="BC47" s="5">
        <f t="shared" si="74"/>
        <v>10509.869999999999</v>
      </c>
      <c r="BD47" s="22">
        <f t="shared" si="75"/>
        <v>85914.516791999995</v>
      </c>
      <c r="BE47" s="118">
        <v>22873</v>
      </c>
      <c r="BF47" s="157">
        <f t="shared" si="21"/>
        <v>48954.234187794369</v>
      </c>
      <c r="BG47" s="118">
        <v>11462</v>
      </c>
      <c r="BH47" s="158">
        <f t="shared" si="22"/>
        <v>165005.75097979436</v>
      </c>
      <c r="BI47" s="123">
        <v>11791</v>
      </c>
      <c r="BJ47" s="124"/>
      <c r="BK47" s="125">
        <f t="shared" si="23"/>
        <v>174005.75097979436</v>
      </c>
      <c r="BM47" s="158">
        <f t="shared" si="24"/>
        <v>165005.75097979436</v>
      </c>
    </row>
    <row r="48" spans="1:65" x14ac:dyDescent="0.2">
      <c r="A48" s="31" t="s">
        <v>92</v>
      </c>
      <c r="B48" s="26">
        <v>40</v>
      </c>
      <c r="C48" s="25" t="s">
        <v>91</v>
      </c>
      <c r="D48" s="37">
        <v>11561.73</v>
      </c>
      <c r="E48" s="23">
        <v>300</v>
      </c>
      <c r="F48" s="23">
        <v>1300</v>
      </c>
      <c r="G48" s="20">
        <v>954.9</v>
      </c>
      <c r="H48" s="36">
        <v>2902.06</v>
      </c>
      <c r="I48" s="20">
        <v>3617.9</v>
      </c>
      <c r="J48" s="20">
        <v>2372.64</v>
      </c>
      <c r="K48" s="20">
        <v>5061.67</v>
      </c>
      <c r="L48" s="20">
        <v>3719.71</v>
      </c>
      <c r="M48" s="20">
        <v>4692</v>
      </c>
      <c r="N48" s="20">
        <v>3935.29</v>
      </c>
      <c r="O48" s="20">
        <v>8083.58</v>
      </c>
      <c r="P48" s="20">
        <v>3121</v>
      </c>
      <c r="Q48" s="97">
        <v>19546.21</v>
      </c>
      <c r="R48" s="35">
        <f t="shared" si="66"/>
        <v>24866.340285999999</v>
      </c>
      <c r="S48" s="34">
        <f t="shared" si="67"/>
        <v>96035.030285999994</v>
      </c>
      <c r="T48" s="33"/>
      <c r="U48" s="18">
        <v>0.06</v>
      </c>
      <c r="V48" s="17"/>
      <c r="W48" s="5">
        <f t="shared" si="68"/>
        <v>40417.9</v>
      </c>
      <c r="X48" s="32">
        <v>7.7219135131333536E-2</v>
      </c>
      <c r="Y48" s="4">
        <f t="shared" si="69"/>
        <v>3121.0352818247256</v>
      </c>
      <c r="Z48" s="4">
        <f t="shared" si="70"/>
        <v>-3.5281824725643673E-2</v>
      </c>
      <c r="AA48" s="12"/>
      <c r="AD48" s="16">
        <f t="shared" si="71"/>
        <v>21095.823041547625</v>
      </c>
      <c r="AE48" s="16">
        <f t="shared" si="72"/>
        <v>117130.85332754762</v>
      </c>
      <c r="AG48" s="31" t="s">
        <v>92</v>
      </c>
      <c r="AH48" s="26">
        <v>40</v>
      </c>
      <c r="AI48" s="25" t="s">
        <v>91</v>
      </c>
      <c r="AJ48" s="16">
        <v>9692</v>
      </c>
      <c r="AL48" s="30">
        <f t="shared" si="61"/>
        <v>21095.823041547625</v>
      </c>
      <c r="AM48" s="30">
        <f t="shared" si="62"/>
        <v>117130.85332754762</v>
      </c>
      <c r="AN48" s="28">
        <f t="shared" si="76"/>
        <v>25095.823041547625</v>
      </c>
      <c r="AO48" s="29">
        <f t="shared" si="77"/>
        <v>121130.85332754762</v>
      </c>
      <c r="AP48" s="28">
        <f t="shared" si="78"/>
        <v>48452.341331019052</v>
      </c>
      <c r="AQ48" s="28">
        <f t="shared" si="79"/>
        <v>30282.713331886906</v>
      </c>
      <c r="AR48" s="5">
        <f t="shared" si="80"/>
        <v>36339.255998264285</v>
      </c>
      <c r="AS48" s="5">
        <f t="shared" si="81"/>
        <v>48452.341331019052</v>
      </c>
      <c r="AT48" s="27" t="s">
        <v>76</v>
      </c>
      <c r="AU48" s="5">
        <f t="shared" si="63"/>
        <v>114569.4536178869</v>
      </c>
      <c r="AV48" s="5">
        <f t="shared" si="64"/>
        <v>40844.113041547622</v>
      </c>
      <c r="AW48" s="5">
        <f t="shared" si="65"/>
        <v>155413.56665943452</v>
      </c>
      <c r="AX48" s="25" t="s">
        <v>91</v>
      </c>
      <c r="AY48" s="26">
        <v>40</v>
      </c>
      <c r="AZ48" s="26">
        <v>40</v>
      </c>
      <c r="BA48" s="25" t="s">
        <v>91</v>
      </c>
      <c r="BB48" s="12">
        <f t="shared" si="73"/>
        <v>84286.740286</v>
      </c>
      <c r="BC48" s="5">
        <f t="shared" si="74"/>
        <v>11748.29</v>
      </c>
      <c r="BD48" s="22">
        <f t="shared" si="75"/>
        <v>96035.030285999994</v>
      </c>
      <c r="BE48" s="118">
        <v>25096</v>
      </c>
      <c r="BF48" s="157">
        <f t="shared" si="21"/>
        <v>54508.884102804383</v>
      </c>
      <c r="BG48" s="118">
        <v>12326</v>
      </c>
      <c r="BH48" s="158">
        <f t="shared" si="22"/>
        <v>183273.91438880438</v>
      </c>
      <c r="BI48" s="123">
        <v>12121</v>
      </c>
      <c r="BJ48" s="124"/>
      <c r="BK48" s="125">
        <f t="shared" si="23"/>
        <v>192273.91438880438</v>
      </c>
      <c r="BM48" s="158">
        <f t="shared" si="24"/>
        <v>183273.91438880438</v>
      </c>
    </row>
    <row r="49" spans="1:65" x14ac:dyDescent="0.2">
      <c r="A49" s="31" t="s">
        <v>92</v>
      </c>
      <c r="B49" s="26">
        <v>44</v>
      </c>
      <c r="C49" s="25" t="s">
        <v>91</v>
      </c>
      <c r="D49" s="37">
        <v>12717.91</v>
      </c>
      <c r="E49" s="23">
        <v>300</v>
      </c>
      <c r="F49" s="23">
        <v>1300</v>
      </c>
      <c r="G49" s="20">
        <v>1038.78</v>
      </c>
      <c r="H49" s="36">
        <v>2902.06</v>
      </c>
      <c r="I49" s="20">
        <v>3617.9</v>
      </c>
      <c r="J49" s="20">
        <v>2550.4699999999998</v>
      </c>
      <c r="K49" s="20">
        <v>5391.78</v>
      </c>
      <c r="L49" s="20">
        <v>3954.53</v>
      </c>
      <c r="M49" s="20">
        <v>4984</v>
      </c>
      <c r="N49" s="20">
        <v>4180.3500000000004</v>
      </c>
      <c r="O49" s="20">
        <v>8587.56</v>
      </c>
      <c r="P49" s="20">
        <v>3315</v>
      </c>
      <c r="Q49" s="97">
        <v>20764.900000000001</v>
      </c>
      <c r="R49" s="35">
        <f t="shared" si="66"/>
        <v>26416.470855999996</v>
      </c>
      <c r="S49" s="34">
        <f t="shared" si="67"/>
        <v>102021.71085599999</v>
      </c>
      <c r="T49" s="33"/>
      <c r="U49" s="18">
        <v>0.06</v>
      </c>
      <c r="V49" s="17"/>
      <c r="W49" s="5">
        <f t="shared" si="68"/>
        <v>42937.78</v>
      </c>
      <c r="X49" s="32">
        <v>7.7211165668783333E-2</v>
      </c>
      <c r="Y49" s="4">
        <f t="shared" si="69"/>
        <v>3315.2760450297715</v>
      </c>
      <c r="Z49" s="4">
        <f t="shared" si="70"/>
        <v>-0.27604502977146694</v>
      </c>
      <c r="AA49" s="12"/>
      <c r="AD49" s="16">
        <f t="shared" si="71"/>
        <v>22410.905189539644</v>
      </c>
      <c r="AE49" s="16">
        <f t="shared" si="72"/>
        <v>124432.61604553963</v>
      </c>
      <c r="AG49" s="31" t="s">
        <v>92</v>
      </c>
      <c r="AH49" s="26">
        <v>44</v>
      </c>
      <c r="AI49" s="25" t="s">
        <v>91</v>
      </c>
      <c r="AJ49" s="16">
        <v>9984</v>
      </c>
      <c r="AL49" s="30">
        <f t="shared" si="61"/>
        <v>22410.905189539644</v>
      </c>
      <c r="AM49" s="30">
        <f t="shared" si="62"/>
        <v>124432.61604553963</v>
      </c>
      <c r="AN49" s="28">
        <f t="shared" si="76"/>
        <v>26410.905189539644</v>
      </c>
      <c r="AO49" s="29">
        <f t="shared" si="77"/>
        <v>128432.61604553963</v>
      </c>
      <c r="AP49" s="28">
        <f t="shared" si="78"/>
        <v>51373.046418215854</v>
      </c>
      <c r="AQ49" s="28">
        <f t="shared" si="79"/>
        <v>32108.154011384908</v>
      </c>
      <c r="AR49" s="5">
        <f t="shared" si="80"/>
        <v>38529.784813661885</v>
      </c>
      <c r="AS49" s="5">
        <f t="shared" si="81"/>
        <v>51373.046418215854</v>
      </c>
      <c r="AT49" s="27" t="s">
        <v>76</v>
      </c>
      <c r="AU49" s="5">
        <f t="shared" si="63"/>
        <v>121650.5148673849</v>
      </c>
      <c r="AV49" s="5">
        <f t="shared" si="64"/>
        <v>42890.255189539646</v>
      </c>
      <c r="AW49" s="5">
        <f t="shared" si="65"/>
        <v>164540.77005692455</v>
      </c>
      <c r="AX49" s="25" t="s">
        <v>91</v>
      </c>
      <c r="AY49" s="26">
        <v>44</v>
      </c>
      <c r="AZ49" s="26">
        <v>44</v>
      </c>
      <c r="BA49" s="25" t="s">
        <v>91</v>
      </c>
      <c r="BB49" s="12">
        <f t="shared" si="73"/>
        <v>89542.360855999999</v>
      </c>
      <c r="BC49" s="5">
        <f t="shared" si="74"/>
        <v>12479.35</v>
      </c>
      <c r="BD49" s="22">
        <f t="shared" si="75"/>
        <v>102021.71085600001</v>
      </c>
      <c r="BE49" s="118">
        <v>26411</v>
      </c>
      <c r="BF49" s="157">
        <f t="shared" si="21"/>
        <v>57794.677332471758</v>
      </c>
      <c r="BG49" s="118">
        <v>12837</v>
      </c>
      <c r="BH49" s="158">
        <f t="shared" si="22"/>
        <v>194080.38818847176</v>
      </c>
      <c r="BI49" s="123">
        <v>12315</v>
      </c>
      <c r="BJ49" s="124"/>
      <c r="BK49" s="125">
        <f t="shared" si="23"/>
        <v>203080.38818847176</v>
      </c>
      <c r="BM49" s="158">
        <f t="shared" si="24"/>
        <v>194080.38818847176</v>
      </c>
    </row>
    <row r="50" spans="1:65" ht="15" x14ac:dyDescent="0.25">
      <c r="A50" s="31"/>
      <c r="B50" s="26"/>
      <c r="C50" s="15"/>
      <c r="D50" s="23"/>
      <c r="E50" s="22"/>
      <c r="F50" s="22"/>
      <c r="G50" s="20"/>
      <c r="H50" s="21"/>
      <c r="I50" s="20"/>
      <c r="J50" s="20"/>
      <c r="K50" s="20"/>
      <c r="L50" s="20"/>
      <c r="M50" s="20"/>
      <c r="N50" s="20"/>
      <c r="O50" s="20"/>
      <c r="P50" s="20"/>
      <c r="Q50" s="96">
        <v>0</v>
      </c>
      <c r="R50" s="35"/>
      <c r="S50" s="34"/>
      <c r="T50" s="19"/>
      <c r="U50" s="18"/>
      <c r="V50" s="17"/>
      <c r="W50" s="5"/>
      <c r="X50" s="32"/>
      <c r="Z50" s="4"/>
      <c r="AA50" s="12"/>
      <c r="AD50" s="16"/>
      <c r="AE50" s="16"/>
      <c r="AG50" s="31"/>
      <c r="AH50" s="26"/>
      <c r="AI50" s="15"/>
      <c r="AJ50" s="16"/>
      <c r="AL50" s="30">
        <f t="shared" si="61"/>
        <v>0</v>
      </c>
      <c r="AM50" s="30">
        <f t="shared" si="62"/>
        <v>0</v>
      </c>
      <c r="AN50" s="28">
        <f t="shared" si="76"/>
        <v>4000</v>
      </c>
      <c r="AO50" s="29">
        <f t="shared" si="77"/>
        <v>4000</v>
      </c>
      <c r="AP50" s="28">
        <f t="shared" si="78"/>
        <v>1600</v>
      </c>
      <c r="AQ50" s="28">
        <f t="shared" si="79"/>
        <v>1000</v>
      </c>
      <c r="AR50" s="5">
        <f t="shared" si="80"/>
        <v>1200</v>
      </c>
      <c r="AS50" s="5">
        <f t="shared" si="81"/>
        <v>1600</v>
      </c>
      <c r="AT50" s="27" t="s">
        <v>76</v>
      </c>
      <c r="AU50" s="5">
        <f t="shared" si="63"/>
        <v>1000</v>
      </c>
      <c r="AV50" s="5">
        <f t="shared" si="64"/>
        <v>8000</v>
      </c>
      <c r="AW50" s="5">
        <f t="shared" si="65"/>
        <v>9000</v>
      </c>
      <c r="AX50" s="15"/>
      <c r="AY50" s="26"/>
      <c r="AZ50" s="26"/>
      <c r="BA50" s="15"/>
      <c r="BB50" s="12"/>
      <c r="BC50" s="5"/>
      <c r="BD50" s="22"/>
      <c r="BE50" s="118"/>
      <c r="BF50" s="157"/>
      <c r="BG50" s="118"/>
      <c r="BH50" s="158"/>
      <c r="BI50" s="123"/>
      <c r="BJ50" s="124"/>
      <c r="BK50" s="125"/>
      <c r="BM50" s="158"/>
    </row>
    <row r="51" spans="1:65" x14ac:dyDescent="0.2">
      <c r="A51" s="43" t="s">
        <v>90</v>
      </c>
      <c r="B51" s="42">
        <v>30</v>
      </c>
      <c r="C51" s="41" t="s">
        <v>88</v>
      </c>
      <c r="D51" s="89">
        <v>9973.25</v>
      </c>
      <c r="E51" s="91">
        <v>300</v>
      </c>
      <c r="F51" s="91">
        <v>1600</v>
      </c>
      <c r="G51" s="91">
        <v>861.42</v>
      </c>
      <c r="H51" s="92">
        <v>2902.06</v>
      </c>
      <c r="I51" s="91">
        <v>3391.78</v>
      </c>
      <c r="J51" s="91">
        <v>2174.46</v>
      </c>
      <c r="K51" s="91">
        <v>4621.5200000000004</v>
      </c>
      <c r="L51" s="91">
        <v>3426.36</v>
      </c>
      <c r="M51" s="91">
        <v>4318</v>
      </c>
      <c r="N51" s="91">
        <v>3621.61</v>
      </c>
      <c r="O51" s="91">
        <v>7438.09</v>
      </c>
      <c r="P51" s="91">
        <v>2871</v>
      </c>
      <c r="Q51" s="95">
        <v>17985.45</v>
      </c>
      <c r="R51" s="93">
        <f t="shared" ref="R51:R58" si="82">SUM(D51:Q51)*$R$1</f>
        <v>22880.458999999999</v>
      </c>
      <c r="S51" s="94">
        <f t="shared" ref="S51:S58" si="83">SUM(D51:R51)</f>
        <v>88365.459000000003</v>
      </c>
      <c r="T51" s="33"/>
      <c r="U51" s="18">
        <v>0.06</v>
      </c>
      <c r="V51" s="17"/>
      <c r="W51" s="5">
        <f t="shared" ref="W51:W58" si="84">+D51+E51+F51+G51+H51+I51+J51+K51+L51+M51+N51</f>
        <v>37190.46</v>
      </c>
      <c r="X51" s="32">
        <v>7.7222496011493585E-2</v>
      </c>
      <c r="Y51" s="4">
        <f t="shared" ref="Y51:Y58" si="85">+W51*X51</f>
        <v>2871.9401490156115</v>
      </c>
      <c r="Z51" s="4">
        <f t="shared" ref="Z51:Z58" si="86">+P51-Y51</f>
        <v>-0.940149015611496</v>
      </c>
      <c r="AA51" s="12"/>
      <c r="AD51" s="16">
        <f t="shared" ref="AD51:AD58" si="87">+R51*$AD$2</f>
        <v>19411.063655601167</v>
      </c>
      <c r="AE51" s="16">
        <f t="shared" ref="AE51:AE58" si="88">+S51+AD51</f>
        <v>107776.52265560118</v>
      </c>
      <c r="AG51" s="43" t="s">
        <v>90</v>
      </c>
      <c r="AH51" s="42">
        <v>30</v>
      </c>
      <c r="AI51" s="41" t="s">
        <v>88</v>
      </c>
      <c r="AJ51" s="16">
        <v>9318</v>
      </c>
      <c r="AL51" s="30">
        <f t="shared" si="61"/>
        <v>19411.063655601167</v>
      </c>
      <c r="AM51" s="30">
        <f t="shared" si="62"/>
        <v>107776.52265560118</v>
      </c>
      <c r="AN51" s="28">
        <f t="shared" si="76"/>
        <v>23411.063655601167</v>
      </c>
      <c r="AO51" s="29">
        <f t="shared" si="77"/>
        <v>111776.52265560118</v>
      </c>
      <c r="AP51" s="28">
        <f t="shared" si="78"/>
        <v>44710.609062240474</v>
      </c>
      <c r="AQ51" s="28">
        <f t="shared" si="79"/>
        <v>27944.130663900291</v>
      </c>
      <c r="AR51" s="5">
        <f t="shared" si="80"/>
        <v>33532.956796680344</v>
      </c>
      <c r="AS51" s="5">
        <f t="shared" si="81"/>
        <v>44710.609062240466</v>
      </c>
      <c r="AT51" s="27" t="s">
        <v>76</v>
      </c>
      <c r="AU51" s="5">
        <f t="shared" si="63"/>
        <v>105498.97966390029</v>
      </c>
      <c r="AV51" s="5">
        <f t="shared" si="64"/>
        <v>38221.673655601167</v>
      </c>
      <c r="AW51" s="5">
        <f t="shared" si="65"/>
        <v>143720.65331950146</v>
      </c>
      <c r="AX51" s="41" t="s">
        <v>88</v>
      </c>
      <c r="AY51" s="42">
        <v>30</v>
      </c>
      <c r="AZ51" s="42">
        <v>30</v>
      </c>
      <c r="BA51" s="41" t="s">
        <v>88</v>
      </c>
      <c r="BB51" s="12">
        <f t="shared" ref="BB51:BB58" si="89">+D51+E51+F51+G51+H51+I51+J51+K51+L51+O51+Q51+R51</f>
        <v>77554.849000000002</v>
      </c>
      <c r="BC51" s="5">
        <f t="shared" ref="BC51:BC58" si="90">+M51+N51+P51</f>
        <v>10810.61</v>
      </c>
      <c r="BD51" s="22">
        <f t="shared" ref="BD51:BD58" si="91">+BB51+BC51</f>
        <v>88365.459000000003</v>
      </c>
      <c r="BE51" s="118">
        <v>23411</v>
      </c>
      <c r="BF51" s="157">
        <f t="shared" si="21"/>
        <v>50299.435292010363</v>
      </c>
      <c r="BG51" s="118">
        <v>11671</v>
      </c>
      <c r="BH51" s="158">
        <f t="shared" si="22"/>
        <v>169428.89429201037</v>
      </c>
      <c r="BI51" s="123">
        <v>11871</v>
      </c>
      <c r="BJ51" s="124"/>
      <c r="BK51" s="125">
        <f t="shared" si="23"/>
        <v>178428.89429201037</v>
      </c>
      <c r="BM51" s="158">
        <f t="shared" si="24"/>
        <v>169428.89429201037</v>
      </c>
    </row>
    <row r="52" spans="1:65" x14ac:dyDescent="0.2">
      <c r="A52" s="31" t="s">
        <v>89</v>
      </c>
      <c r="B52" s="44">
        <v>15</v>
      </c>
      <c r="C52" s="25" t="s">
        <v>88</v>
      </c>
      <c r="D52" s="37">
        <v>4986.63</v>
      </c>
      <c r="E52" s="23">
        <v>300</v>
      </c>
      <c r="F52" s="23">
        <v>1600</v>
      </c>
      <c r="G52" s="20">
        <v>499.63</v>
      </c>
      <c r="H52" s="36">
        <v>2902.06</v>
      </c>
      <c r="I52" s="20">
        <v>3391.78</v>
      </c>
      <c r="J52" s="20">
        <v>1407.47</v>
      </c>
      <c r="K52" s="20">
        <v>2310.7600000000002</v>
      </c>
      <c r="L52" s="20">
        <v>2413.5700000000002</v>
      </c>
      <c r="M52" s="20">
        <v>2159</v>
      </c>
      <c r="N52" s="20">
        <v>2469.3000000000002</v>
      </c>
      <c r="O52" s="20">
        <v>4888.04</v>
      </c>
      <c r="P52" s="20">
        <v>1646</v>
      </c>
      <c r="Q52" s="97">
        <v>11728.17</v>
      </c>
      <c r="R52" s="35">
        <f t="shared" si="82"/>
        <v>14920.222054</v>
      </c>
      <c r="S52" s="34">
        <f t="shared" si="83"/>
        <v>57622.632054000002</v>
      </c>
      <c r="T52" s="33"/>
      <c r="U52" s="18">
        <v>0.06</v>
      </c>
      <c r="V52" s="17"/>
      <c r="W52" s="5">
        <f t="shared" si="84"/>
        <v>24440.2</v>
      </c>
      <c r="X52" s="32">
        <v>6.5524609393215805E-2</v>
      </c>
      <c r="Y52" s="4">
        <f t="shared" si="85"/>
        <v>1601.4345584920729</v>
      </c>
      <c r="Z52" s="40">
        <f t="shared" si="86"/>
        <v>44.565441507927062</v>
      </c>
      <c r="AA52" s="12"/>
      <c r="AD52" s="16">
        <f t="shared" si="87"/>
        <v>12657.848343247766</v>
      </c>
      <c r="AE52" s="16">
        <f t="shared" si="88"/>
        <v>70280.480397247768</v>
      </c>
      <c r="AG52" s="31" t="s">
        <v>89</v>
      </c>
      <c r="AH52" s="44">
        <v>15</v>
      </c>
      <c r="AI52" s="25" t="s">
        <v>88</v>
      </c>
      <c r="AJ52" s="16">
        <v>7159</v>
      </c>
      <c r="AL52" s="30">
        <f t="shared" si="61"/>
        <v>12657.848343247766</v>
      </c>
      <c r="AM52" s="30">
        <f t="shared" si="62"/>
        <v>70280.480397247768</v>
      </c>
      <c r="AN52" s="28">
        <f t="shared" si="76"/>
        <v>16657.848343247766</v>
      </c>
      <c r="AO52" s="29">
        <f t="shared" si="77"/>
        <v>74280.480397247768</v>
      </c>
      <c r="AP52" s="28">
        <f t="shared" si="78"/>
        <v>29712.19215889911</v>
      </c>
      <c r="AQ52" s="28">
        <f t="shared" si="79"/>
        <v>18570.120099311942</v>
      </c>
      <c r="AR52" s="5">
        <f t="shared" si="80"/>
        <v>22284.144119174329</v>
      </c>
      <c r="AS52" s="5">
        <f t="shared" si="81"/>
        <v>29712.192158899106</v>
      </c>
      <c r="AT52" s="27" t="s">
        <v>76</v>
      </c>
      <c r="AU52" s="5">
        <f t="shared" si="63"/>
        <v>69918.45215331194</v>
      </c>
      <c r="AV52" s="5">
        <f t="shared" si="64"/>
        <v>26932.148343247765</v>
      </c>
      <c r="AW52" s="5">
        <f t="shared" si="65"/>
        <v>96850.600496559709</v>
      </c>
      <c r="AX52" s="25" t="s">
        <v>88</v>
      </c>
      <c r="AY52" s="44">
        <v>15</v>
      </c>
      <c r="AZ52" s="44">
        <v>15</v>
      </c>
      <c r="BA52" s="25" t="s">
        <v>88</v>
      </c>
      <c r="BB52" s="12">
        <f t="shared" si="89"/>
        <v>51348.332053999999</v>
      </c>
      <c r="BC52" s="5">
        <f t="shared" si="90"/>
        <v>6274.3</v>
      </c>
      <c r="BD52" s="22">
        <f t="shared" si="91"/>
        <v>57622.632054000002</v>
      </c>
      <c r="BE52" s="118">
        <v>16658</v>
      </c>
      <c r="BF52" s="157">
        <f t="shared" si="21"/>
        <v>33426.216242008042</v>
      </c>
      <c r="BG52" s="118">
        <v>8387</v>
      </c>
      <c r="BH52" s="158">
        <f t="shared" si="22"/>
        <v>113934.84829600804</v>
      </c>
      <c r="BI52" s="123">
        <v>10646</v>
      </c>
      <c r="BJ52" s="124"/>
      <c r="BK52" s="125">
        <f t="shared" si="23"/>
        <v>122934.84829600804</v>
      </c>
      <c r="BM52" s="158">
        <f t="shared" si="24"/>
        <v>113934.84829600804</v>
      </c>
    </row>
    <row r="53" spans="1:65" x14ac:dyDescent="0.2">
      <c r="A53" s="31" t="s">
        <v>89</v>
      </c>
      <c r="B53" s="26">
        <v>24</v>
      </c>
      <c r="C53" s="25" t="s">
        <v>88</v>
      </c>
      <c r="D53" s="37">
        <v>7978.6</v>
      </c>
      <c r="E53" s="23">
        <v>300</v>
      </c>
      <c r="F53" s="23">
        <v>1600</v>
      </c>
      <c r="G53" s="20">
        <v>716.71</v>
      </c>
      <c r="H53" s="36">
        <v>2902.06</v>
      </c>
      <c r="I53" s="20">
        <v>3391.78</v>
      </c>
      <c r="J53" s="20">
        <v>1867.66</v>
      </c>
      <c r="K53" s="20">
        <v>4621.5200000000004</v>
      </c>
      <c r="L53" s="20">
        <v>3021.24</v>
      </c>
      <c r="M53" s="20">
        <v>3887</v>
      </c>
      <c r="N53" s="20">
        <v>3260.06</v>
      </c>
      <c r="O53" s="20">
        <v>6709.33</v>
      </c>
      <c r="P53" s="20">
        <v>2590</v>
      </c>
      <c r="Q53" s="97">
        <v>16223.2</v>
      </c>
      <c r="R53" s="35">
        <f t="shared" si="82"/>
        <v>20638.764503999999</v>
      </c>
      <c r="S53" s="34">
        <f t="shared" si="83"/>
        <v>79707.924503999995</v>
      </c>
      <c r="T53" s="33"/>
      <c r="U53" s="18">
        <v>0.06</v>
      </c>
      <c r="V53" s="17"/>
      <c r="W53" s="5">
        <f t="shared" si="84"/>
        <v>33546.629999999997</v>
      </c>
      <c r="X53" s="32">
        <v>7.7195064770917768E-2</v>
      </c>
      <c r="Y53" s="4">
        <f t="shared" si="85"/>
        <v>2589.634275696013</v>
      </c>
      <c r="Z53" s="4">
        <f t="shared" si="86"/>
        <v>0.36572430398700817</v>
      </c>
      <c r="AA53" s="12"/>
      <c r="AD53" s="16">
        <f t="shared" si="87"/>
        <v>17509.280367151106</v>
      </c>
      <c r="AE53" s="16">
        <f t="shared" si="88"/>
        <v>97217.204871151102</v>
      </c>
      <c r="AG53" s="31" t="s">
        <v>89</v>
      </c>
      <c r="AH53" s="26">
        <v>24</v>
      </c>
      <c r="AI53" s="25" t="s">
        <v>88</v>
      </c>
      <c r="AJ53" s="16">
        <v>8887</v>
      </c>
      <c r="AL53" s="30">
        <f t="shared" si="61"/>
        <v>17509.280367151106</v>
      </c>
      <c r="AM53" s="30">
        <f t="shared" si="62"/>
        <v>97217.204871151102</v>
      </c>
      <c r="AN53" s="28">
        <f t="shared" si="76"/>
        <v>21509.280367151106</v>
      </c>
      <c r="AO53" s="29">
        <f t="shared" si="77"/>
        <v>101217.2048711511</v>
      </c>
      <c r="AP53" s="28">
        <f t="shared" si="78"/>
        <v>40486.881948460446</v>
      </c>
      <c r="AQ53" s="28">
        <f t="shared" si="79"/>
        <v>25304.301217787775</v>
      </c>
      <c r="AR53" s="5">
        <f t="shared" si="80"/>
        <v>30365.161461345331</v>
      </c>
      <c r="AS53" s="5">
        <f t="shared" si="81"/>
        <v>40486.881948460439</v>
      </c>
      <c r="AT53" s="27" t="s">
        <v>76</v>
      </c>
      <c r="AU53" s="5">
        <f t="shared" si="63"/>
        <v>95275.16572178778</v>
      </c>
      <c r="AV53" s="5">
        <f t="shared" si="64"/>
        <v>35246.340367151104</v>
      </c>
      <c r="AW53" s="5">
        <f t="shared" si="65"/>
        <v>130521.50608893888</v>
      </c>
      <c r="AX53" s="25" t="s">
        <v>88</v>
      </c>
      <c r="AY53" s="26">
        <v>24</v>
      </c>
      <c r="AZ53" s="26">
        <v>24</v>
      </c>
      <c r="BA53" s="25" t="s">
        <v>88</v>
      </c>
      <c r="BB53" s="12">
        <f t="shared" si="89"/>
        <v>69970.864503999997</v>
      </c>
      <c r="BC53" s="5">
        <f t="shared" si="90"/>
        <v>9737.06</v>
      </c>
      <c r="BD53" s="22">
        <f t="shared" si="91"/>
        <v>79707.924503999995</v>
      </c>
      <c r="BE53" s="118">
        <v>21509</v>
      </c>
      <c r="BF53" s="157">
        <f t="shared" si="21"/>
        <v>45547.742279505335</v>
      </c>
      <c r="BG53" s="118">
        <v>10924</v>
      </c>
      <c r="BH53" s="158">
        <f t="shared" si="22"/>
        <v>153801.66678350532</v>
      </c>
      <c r="BI53" s="123">
        <v>11590</v>
      </c>
      <c r="BJ53" s="124"/>
      <c r="BK53" s="125">
        <f t="shared" si="23"/>
        <v>162801.66678350532</v>
      </c>
      <c r="BM53" s="158">
        <f t="shared" si="24"/>
        <v>153801.66678350532</v>
      </c>
    </row>
    <row r="54" spans="1:65" x14ac:dyDescent="0.2">
      <c r="A54" s="31" t="s">
        <v>89</v>
      </c>
      <c r="B54" s="26">
        <v>28</v>
      </c>
      <c r="C54" s="25" t="s">
        <v>88</v>
      </c>
      <c r="D54" s="37">
        <v>9308.3700000000008</v>
      </c>
      <c r="E54" s="23">
        <v>300</v>
      </c>
      <c r="F54" s="23">
        <v>1600</v>
      </c>
      <c r="G54" s="20">
        <v>813.18</v>
      </c>
      <c r="H54" s="36">
        <v>2902.06</v>
      </c>
      <c r="I54" s="20">
        <v>3391.78</v>
      </c>
      <c r="J54" s="20">
        <v>2072.19</v>
      </c>
      <c r="K54" s="20">
        <v>4621.5200000000004</v>
      </c>
      <c r="L54" s="20">
        <v>3291.32</v>
      </c>
      <c r="M54" s="20">
        <v>4174</v>
      </c>
      <c r="N54" s="20">
        <v>3501.1</v>
      </c>
      <c r="O54" s="20">
        <v>7195.1</v>
      </c>
      <c r="P54" s="20">
        <v>2777</v>
      </c>
      <c r="Q54" s="97">
        <v>17397.75</v>
      </c>
      <c r="R54" s="35">
        <f t="shared" si="82"/>
        <v>22132.872277999999</v>
      </c>
      <c r="S54" s="34">
        <f t="shared" si="83"/>
        <v>85478.242277999991</v>
      </c>
      <c r="T54" s="33"/>
      <c r="U54" s="18">
        <v>0.06</v>
      </c>
      <c r="V54" s="17"/>
      <c r="W54" s="5">
        <f t="shared" si="84"/>
        <v>35975.519999999997</v>
      </c>
      <c r="X54" s="32">
        <v>7.7225904853054236E-2</v>
      </c>
      <c r="Y54" s="4">
        <f t="shared" si="85"/>
        <v>2778.2420845591496</v>
      </c>
      <c r="Z54" s="4">
        <f t="shared" si="86"/>
        <v>-1.242084559149589</v>
      </c>
      <c r="AA54" s="12"/>
      <c r="AD54" s="16">
        <f t="shared" si="87"/>
        <v>18776.834532451838</v>
      </c>
      <c r="AE54" s="16">
        <f t="shared" si="88"/>
        <v>104255.07681045184</v>
      </c>
      <c r="AG54" s="31" t="s">
        <v>89</v>
      </c>
      <c r="AH54" s="26">
        <v>28</v>
      </c>
      <c r="AI54" s="25" t="s">
        <v>88</v>
      </c>
      <c r="AJ54" s="16">
        <v>9174</v>
      </c>
      <c r="AL54" s="30">
        <f t="shared" si="61"/>
        <v>18776.834532451838</v>
      </c>
      <c r="AM54" s="30">
        <f t="shared" si="62"/>
        <v>104255.07681045184</v>
      </c>
      <c r="AN54" s="28">
        <f t="shared" si="76"/>
        <v>22776.834532451838</v>
      </c>
      <c r="AO54" s="29">
        <f t="shared" si="77"/>
        <v>108255.07681045184</v>
      </c>
      <c r="AP54" s="28">
        <f t="shared" si="78"/>
        <v>43302.030724180739</v>
      </c>
      <c r="AQ54" s="28">
        <f t="shared" si="79"/>
        <v>27063.769202612959</v>
      </c>
      <c r="AR54" s="5">
        <f t="shared" si="80"/>
        <v>32476.523043135549</v>
      </c>
      <c r="AS54" s="5">
        <f t="shared" si="81"/>
        <v>43302.030724180731</v>
      </c>
      <c r="AT54" s="27" t="s">
        <v>76</v>
      </c>
      <c r="AU54" s="5">
        <f t="shared" si="63"/>
        <v>102089.91148061297</v>
      </c>
      <c r="AV54" s="5">
        <f t="shared" si="64"/>
        <v>37228.934532451836</v>
      </c>
      <c r="AW54" s="5">
        <f t="shared" si="65"/>
        <v>139318.84601306479</v>
      </c>
      <c r="AX54" s="25" t="s">
        <v>88</v>
      </c>
      <c r="AY54" s="26">
        <v>28</v>
      </c>
      <c r="AZ54" s="26">
        <v>28</v>
      </c>
      <c r="BA54" s="25" t="s">
        <v>88</v>
      </c>
      <c r="BB54" s="12">
        <f t="shared" si="89"/>
        <v>75026.142277999999</v>
      </c>
      <c r="BC54" s="5">
        <f t="shared" si="90"/>
        <v>10452.1</v>
      </c>
      <c r="BD54" s="22">
        <f t="shared" si="91"/>
        <v>85478.242278000005</v>
      </c>
      <c r="BE54" s="118">
        <v>22777</v>
      </c>
      <c r="BF54" s="157">
        <f t="shared" si="21"/>
        <v>48714.784658524157</v>
      </c>
      <c r="BG54" s="118">
        <v>11422</v>
      </c>
      <c r="BH54" s="158">
        <f t="shared" si="22"/>
        <v>164218.02693652417</v>
      </c>
      <c r="BI54" s="123">
        <v>11777</v>
      </c>
      <c r="BJ54" s="124"/>
      <c r="BK54" s="125">
        <f t="shared" si="23"/>
        <v>173218.02693652417</v>
      </c>
      <c r="BM54" s="158">
        <f t="shared" si="24"/>
        <v>164218.02693652417</v>
      </c>
    </row>
    <row r="55" spans="1:65" x14ac:dyDescent="0.2">
      <c r="A55" s="31" t="s">
        <v>89</v>
      </c>
      <c r="B55" s="26">
        <v>35</v>
      </c>
      <c r="C55" s="25" t="s">
        <v>88</v>
      </c>
      <c r="D55" s="37">
        <v>11635.46</v>
      </c>
      <c r="E55" s="23">
        <v>300</v>
      </c>
      <c r="F55" s="23">
        <v>1600</v>
      </c>
      <c r="G55" s="20">
        <v>982.02</v>
      </c>
      <c r="H55" s="36">
        <v>2902.06</v>
      </c>
      <c r="I55" s="20">
        <v>3391.78</v>
      </c>
      <c r="J55" s="20">
        <v>2430.12</v>
      </c>
      <c r="K55" s="20">
        <v>4621.5200000000004</v>
      </c>
      <c r="L55" s="20">
        <v>3763.96</v>
      </c>
      <c r="M55" s="20">
        <v>4677</v>
      </c>
      <c r="N55" s="20">
        <v>3922.91</v>
      </c>
      <c r="O55" s="20">
        <v>8045.37</v>
      </c>
      <c r="P55" s="20">
        <v>3105</v>
      </c>
      <c r="Q55" s="97">
        <v>19453.669999999998</v>
      </c>
      <c r="R55" s="35">
        <f t="shared" si="82"/>
        <v>24748.305977999997</v>
      </c>
      <c r="S55" s="34">
        <f t="shared" si="83"/>
        <v>95579.175977999985</v>
      </c>
      <c r="T55" s="33"/>
      <c r="U55" s="18">
        <v>0.06</v>
      </c>
      <c r="V55" s="17"/>
      <c r="W55" s="5">
        <f t="shared" si="84"/>
        <v>40226.83</v>
      </c>
      <c r="X55" s="32">
        <v>7.7207057250464173E-2</v>
      </c>
      <c r="Y55" s="4">
        <f t="shared" si="85"/>
        <v>3105.7951668146898</v>
      </c>
      <c r="Z55" s="4">
        <f t="shared" si="86"/>
        <v>-0.79516681468976458</v>
      </c>
      <c r="AA55" s="12"/>
      <c r="AD55" s="16">
        <f t="shared" si="87"/>
        <v>20995.686437376666</v>
      </c>
      <c r="AE55" s="16">
        <f t="shared" si="88"/>
        <v>116574.86241537664</v>
      </c>
      <c r="AG55" s="31" t="s">
        <v>89</v>
      </c>
      <c r="AH55" s="26">
        <v>35</v>
      </c>
      <c r="AI55" s="25" t="s">
        <v>88</v>
      </c>
      <c r="AJ55" s="16">
        <v>9677</v>
      </c>
      <c r="AL55" s="30">
        <f t="shared" si="61"/>
        <v>20995.686437376666</v>
      </c>
      <c r="AM55" s="30">
        <f t="shared" si="62"/>
        <v>116574.86241537664</v>
      </c>
      <c r="AN55" s="28">
        <f t="shared" si="76"/>
        <v>24995.686437376666</v>
      </c>
      <c r="AO55" s="29">
        <f t="shared" si="77"/>
        <v>120574.86241537664</v>
      </c>
      <c r="AP55" s="28">
        <f t="shared" si="78"/>
        <v>48229.944966150659</v>
      </c>
      <c r="AQ55" s="28">
        <f t="shared" si="79"/>
        <v>30143.715603844164</v>
      </c>
      <c r="AR55" s="5">
        <f t="shared" si="80"/>
        <v>36172.458724612996</v>
      </c>
      <c r="AS55" s="5">
        <f t="shared" si="81"/>
        <v>48229.944966150659</v>
      </c>
      <c r="AT55" s="27" t="s">
        <v>76</v>
      </c>
      <c r="AU55" s="5">
        <f t="shared" si="63"/>
        <v>114017.98158184416</v>
      </c>
      <c r="AV55" s="5">
        <f t="shared" si="64"/>
        <v>40700.596437376662</v>
      </c>
      <c r="AW55" s="5">
        <f t="shared" si="65"/>
        <v>154718.57801922082</v>
      </c>
      <c r="AX55" s="25" t="s">
        <v>88</v>
      </c>
      <c r="AY55" s="26">
        <v>35</v>
      </c>
      <c r="AZ55" s="26">
        <v>35</v>
      </c>
      <c r="BA55" s="25" t="s">
        <v>88</v>
      </c>
      <c r="BB55" s="12">
        <f t="shared" si="89"/>
        <v>83874.265977999996</v>
      </c>
      <c r="BC55" s="5">
        <f t="shared" si="90"/>
        <v>11704.91</v>
      </c>
      <c r="BD55" s="22">
        <f t="shared" si="91"/>
        <v>95579.175977999999</v>
      </c>
      <c r="BE55" s="118">
        <v>24996</v>
      </c>
      <c r="BF55" s="157">
        <f t="shared" si="21"/>
        <v>54258.688191827103</v>
      </c>
      <c r="BG55" s="118">
        <v>12294</v>
      </c>
      <c r="BH55" s="158">
        <f t="shared" si="22"/>
        <v>182450.86416982711</v>
      </c>
      <c r="BI55" s="123">
        <v>12105</v>
      </c>
      <c r="BJ55" s="124"/>
      <c r="BK55" s="125">
        <f t="shared" si="23"/>
        <v>191450.86416982711</v>
      </c>
      <c r="BM55" s="158">
        <f t="shared" si="24"/>
        <v>182450.86416982711</v>
      </c>
    </row>
    <row r="56" spans="1:65" x14ac:dyDescent="0.2">
      <c r="A56" s="31" t="s">
        <v>89</v>
      </c>
      <c r="B56" s="26">
        <v>36</v>
      </c>
      <c r="C56" s="25" t="s">
        <v>88</v>
      </c>
      <c r="D56" s="37">
        <v>11967.9</v>
      </c>
      <c r="E56" s="23">
        <v>300</v>
      </c>
      <c r="F56" s="23">
        <v>1600</v>
      </c>
      <c r="G56" s="20">
        <v>1006.14</v>
      </c>
      <c r="H56" s="36">
        <v>2902.06</v>
      </c>
      <c r="I56" s="20">
        <v>3391.78</v>
      </c>
      <c r="J56" s="20">
        <v>2481.25</v>
      </c>
      <c r="K56" s="20">
        <v>5171.7</v>
      </c>
      <c r="L56" s="20">
        <v>3831.48</v>
      </c>
      <c r="M56" s="20">
        <v>4820</v>
      </c>
      <c r="N56" s="20">
        <v>4042.32</v>
      </c>
      <c r="O56" s="20">
        <v>8302.93</v>
      </c>
      <c r="P56" s="20">
        <v>3205</v>
      </c>
      <c r="Q56" s="97">
        <v>20076.64</v>
      </c>
      <c r="R56" s="35">
        <f t="shared" si="82"/>
        <v>25540.860479999999</v>
      </c>
      <c r="S56" s="34">
        <f t="shared" si="83"/>
        <v>98640.06048</v>
      </c>
      <c r="T56" s="33"/>
      <c r="U56" s="18">
        <v>0.06</v>
      </c>
      <c r="V56" s="17"/>
      <c r="W56" s="5">
        <f t="shared" si="84"/>
        <v>41514.629999999997</v>
      </c>
      <c r="X56" s="32">
        <v>7.7204223183347451E-2</v>
      </c>
      <c r="Y56" s="4">
        <f t="shared" si="85"/>
        <v>3205.1047598940913</v>
      </c>
      <c r="Z56" s="4">
        <f t="shared" si="86"/>
        <v>-0.10475989409133035</v>
      </c>
      <c r="AA56" s="12"/>
      <c r="AD56" s="16">
        <f t="shared" si="87"/>
        <v>21668.064814438741</v>
      </c>
      <c r="AE56" s="16">
        <f t="shared" si="88"/>
        <v>120308.12529443874</v>
      </c>
      <c r="AG56" s="31" t="s">
        <v>89</v>
      </c>
      <c r="AH56" s="26">
        <v>36</v>
      </c>
      <c r="AI56" s="25" t="s">
        <v>88</v>
      </c>
      <c r="AJ56" s="16">
        <v>9820</v>
      </c>
      <c r="AL56" s="30">
        <f t="shared" si="61"/>
        <v>21668.064814438741</v>
      </c>
      <c r="AM56" s="30">
        <f t="shared" si="62"/>
        <v>120308.12529443874</v>
      </c>
      <c r="AN56" s="28">
        <f t="shared" si="76"/>
        <v>25668.064814438741</v>
      </c>
      <c r="AO56" s="29">
        <f t="shared" si="77"/>
        <v>124308.12529443874</v>
      </c>
      <c r="AP56" s="28">
        <f t="shared" si="78"/>
        <v>49723.250117775497</v>
      </c>
      <c r="AQ56" s="28">
        <f t="shared" si="79"/>
        <v>31077.031323609684</v>
      </c>
      <c r="AR56" s="5">
        <f t="shared" si="80"/>
        <v>37292.437588331624</v>
      </c>
      <c r="AS56" s="5">
        <f t="shared" si="81"/>
        <v>49723.250117775497</v>
      </c>
      <c r="AT56" s="27" t="s">
        <v>76</v>
      </c>
      <c r="AU56" s="5">
        <f t="shared" si="63"/>
        <v>117649.77180360968</v>
      </c>
      <c r="AV56" s="5">
        <f t="shared" si="64"/>
        <v>41735.384814438745</v>
      </c>
      <c r="AW56" s="5">
        <f t="shared" si="65"/>
        <v>159385.15661804844</v>
      </c>
      <c r="AX56" s="25" t="s">
        <v>88</v>
      </c>
      <c r="AY56" s="26">
        <v>36</v>
      </c>
      <c r="AZ56" s="26">
        <v>36</v>
      </c>
      <c r="BA56" s="25" t="s">
        <v>88</v>
      </c>
      <c r="BB56" s="12">
        <f t="shared" si="89"/>
        <v>86572.740479999993</v>
      </c>
      <c r="BC56" s="5">
        <f t="shared" si="90"/>
        <v>12067.32</v>
      </c>
      <c r="BD56" s="22">
        <f t="shared" si="91"/>
        <v>98640.060479999986</v>
      </c>
      <c r="BE56" s="118">
        <v>25668</v>
      </c>
      <c r="BF56" s="157">
        <f t="shared" si="21"/>
        <v>55938.656490764661</v>
      </c>
      <c r="BG56" s="118">
        <v>12549</v>
      </c>
      <c r="BH56" s="158">
        <f t="shared" si="22"/>
        <v>187975.71697076465</v>
      </c>
      <c r="BI56" s="123">
        <v>12205</v>
      </c>
      <c r="BJ56" s="124"/>
      <c r="BK56" s="125">
        <f t="shared" si="23"/>
        <v>196975.71697076465</v>
      </c>
      <c r="BM56" s="158">
        <f t="shared" si="24"/>
        <v>187975.71697076465</v>
      </c>
    </row>
    <row r="57" spans="1:65" x14ac:dyDescent="0.2">
      <c r="A57" s="31" t="s">
        <v>89</v>
      </c>
      <c r="B57" s="26">
        <v>40</v>
      </c>
      <c r="C57" s="25" t="s">
        <v>88</v>
      </c>
      <c r="D57" s="37">
        <v>13297.67</v>
      </c>
      <c r="E57" s="23">
        <v>300</v>
      </c>
      <c r="F57" s="23">
        <v>1600</v>
      </c>
      <c r="G57" s="20">
        <v>1102.6099999999999</v>
      </c>
      <c r="H57" s="36">
        <v>3506.65</v>
      </c>
      <c r="I57" s="20">
        <v>4183.8</v>
      </c>
      <c r="J57" s="20">
        <v>2758.33</v>
      </c>
      <c r="K57" s="20">
        <v>5831.92</v>
      </c>
      <c r="L57" s="20">
        <v>4324.95</v>
      </c>
      <c r="M57" s="20">
        <v>5448</v>
      </c>
      <c r="N57" s="20">
        <v>4569.34</v>
      </c>
      <c r="O57" s="20">
        <v>9384.65</v>
      </c>
      <c r="P57" s="46">
        <v>3622</v>
      </c>
      <c r="Q57" s="97">
        <v>22692.12</v>
      </c>
      <c r="R57" s="35">
        <f t="shared" si="82"/>
        <v>28868.140775999997</v>
      </c>
      <c r="S57" s="34">
        <f t="shared" si="83"/>
        <v>111490.18077599999</v>
      </c>
      <c r="T57" s="33"/>
      <c r="U57" s="18">
        <v>0.06</v>
      </c>
      <c r="V57" s="17"/>
      <c r="W57" s="5">
        <f t="shared" si="84"/>
        <v>46923.26999999999</v>
      </c>
      <c r="X57" s="32">
        <v>7.7219135131333536E-2</v>
      </c>
      <c r="Y57" s="4">
        <f t="shared" si="85"/>
        <v>3623.374326934048</v>
      </c>
      <c r="Z57" s="40">
        <f t="shared" si="86"/>
        <v>-1.3743269340479856</v>
      </c>
      <c r="AA57" s="12"/>
      <c r="AD57" s="16">
        <f t="shared" si="87"/>
        <v>24490.825040782252</v>
      </c>
      <c r="AE57" s="16">
        <f t="shared" si="88"/>
        <v>135981.00581678224</v>
      </c>
      <c r="AG57" s="31" t="s">
        <v>89</v>
      </c>
      <c r="AH57" s="26">
        <v>40</v>
      </c>
      <c r="AI57" s="25" t="s">
        <v>88</v>
      </c>
      <c r="AJ57" s="16">
        <v>10448</v>
      </c>
      <c r="AL57" s="30">
        <f t="shared" si="61"/>
        <v>24490.825040782252</v>
      </c>
      <c r="AM57" s="30">
        <f t="shared" si="62"/>
        <v>135981.00581678224</v>
      </c>
      <c r="AN57" s="28">
        <f t="shared" si="76"/>
        <v>28490.825040782252</v>
      </c>
      <c r="AO57" s="29">
        <f t="shared" si="77"/>
        <v>139981.00581678224</v>
      </c>
      <c r="AP57" s="28">
        <f t="shared" si="78"/>
        <v>55992.402326712901</v>
      </c>
      <c r="AQ57" s="28">
        <f t="shared" si="79"/>
        <v>34995.251454195561</v>
      </c>
      <c r="AR57" s="5">
        <f t="shared" si="80"/>
        <v>41994.301745034674</v>
      </c>
      <c r="AS57" s="5">
        <f t="shared" si="81"/>
        <v>55992.402326712894</v>
      </c>
      <c r="AT57" s="27" t="s">
        <v>76</v>
      </c>
      <c r="AU57" s="5">
        <f t="shared" si="63"/>
        <v>132846.09223019556</v>
      </c>
      <c r="AV57" s="5">
        <f t="shared" si="64"/>
        <v>46130.165040782253</v>
      </c>
      <c r="AW57" s="5">
        <f t="shared" si="65"/>
        <v>178976.2572709778</v>
      </c>
      <c r="AX57" s="25" t="s">
        <v>88</v>
      </c>
      <c r="AY57" s="26">
        <v>40</v>
      </c>
      <c r="AZ57" s="26">
        <v>40</v>
      </c>
      <c r="BA57" s="25" t="s">
        <v>88</v>
      </c>
      <c r="BB57" s="12">
        <f t="shared" si="89"/>
        <v>97850.840775999997</v>
      </c>
      <c r="BC57" s="5">
        <f t="shared" si="90"/>
        <v>13639.34</v>
      </c>
      <c r="BD57" s="22">
        <f t="shared" si="91"/>
        <v>111490.18077599999</v>
      </c>
      <c r="BE57" s="118">
        <v>28491</v>
      </c>
      <c r="BF57" s="157">
        <f t="shared" si="21"/>
        <v>62991.452739923516</v>
      </c>
      <c r="BG57" s="118">
        <v>13647</v>
      </c>
      <c r="BH57" s="158">
        <f t="shared" si="22"/>
        <v>211171.63351592352</v>
      </c>
      <c r="BI57" s="123">
        <v>12622</v>
      </c>
      <c r="BJ57" s="124"/>
      <c r="BK57" s="125">
        <f t="shared" si="23"/>
        <v>220171.63351592352</v>
      </c>
      <c r="BM57" s="158">
        <f t="shared" si="24"/>
        <v>211171.63351592352</v>
      </c>
    </row>
    <row r="58" spans="1:65" x14ac:dyDescent="0.2">
      <c r="A58" s="31" t="s">
        <v>89</v>
      </c>
      <c r="B58" s="26">
        <v>44</v>
      </c>
      <c r="C58" s="25" t="s">
        <v>88</v>
      </c>
      <c r="D58" s="37">
        <v>14627.43</v>
      </c>
      <c r="E58" s="23">
        <v>300</v>
      </c>
      <c r="F58" s="23">
        <v>1600</v>
      </c>
      <c r="G58" s="20">
        <v>1199.0899999999999</v>
      </c>
      <c r="H58" s="36">
        <v>3506.65</v>
      </c>
      <c r="I58" s="20">
        <v>4183.8</v>
      </c>
      <c r="J58" s="20">
        <v>2962.86</v>
      </c>
      <c r="K58" s="20">
        <v>6272.07</v>
      </c>
      <c r="L58" s="20">
        <v>4595.0200000000004</v>
      </c>
      <c r="M58" s="20">
        <v>5792</v>
      </c>
      <c r="N58" s="20">
        <v>4857.7</v>
      </c>
      <c r="O58" s="20">
        <v>9979.32</v>
      </c>
      <c r="P58" s="20">
        <v>3852</v>
      </c>
      <c r="Q58" s="97">
        <v>24130.06</v>
      </c>
      <c r="R58" s="35">
        <f t="shared" si="82"/>
        <v>30697.585199999998</v>
      </c>
      <c r="S58" s="34">
        <f t="shared" si="83"/>
        <v>118555.5852</v>
      </c>
      <c r="T58" s="33"/>
      <c r="U58" s="18">
        <v>0.06</v>
      </c>
      <c r="V58" s="17"/>
      <c r="W58" s="5">
        <f t="shared" si="84"/>
        <v>49896.619999999995</v>
      </c>
      <c r="X58" s="32">
        <v>7.7211165668783333E-2</v>
      </c>
      <c r="Y58" s="4">
        <f t="shared" si="85"/>
        <v>3852.5761931323273</v>
      </c>
      <c r="Z58" s="4">
        <f t="shared" si="86"/>
        <v>-0.57619313232726199</v>
      </c>
      <c r="AA58" s="12"/>
      <c r="AD58" s="16">
        <f t="shared" si="87"/>
        <v>26042.868300432274</v>
      </c>
      <c r="AE58" s="16">
        <f t="shared" si="88"/>
        <v>144598.45350043228</v>
      </c>
      <c r="AG58" s="31" t="s">
        <v>89</v>
      </c>
      <c r="AH58" s="26">
        <v>44</v>
      </c>
      <c r="AI58" s="25" t="s">
        <v>88</v>
      </c>
      <c r="AJ58" s="16">
        <v>10792</v>
      </c>
      <c r="AL58" s="30">
        <f t="shared" si="61"/>
        <v>26042.868300432274</v>
      </c>
      <c r="AM58" s="30">
        <f t="shared" si="62"/>
        <v>144598.45350043228</v>
      </c>
      <c r="AN58" s="28">
        <f t="shared" si="76"/>
        <v>30042.868300432274</v>
      </c>
      <c r="AO58" s="29">
        <f t="shared" si="77"/>
        <v>148598.45350043228</v>
      </c>
      <c r="AP58" s="28">
        <f t="shared" si="78"/>
        <v>59439.381400172919</v>
      </c>
      <c r="AQ58" s="28">
        <f t="shared" si="79"/>
        <v>37149.613375108071</v>
      </c>
      <c r="AR58" s="5">
        <f t="shared" si="80"/>
        <v>44579.536050129682</v>
      </c>
      <c r="AS58" s="5">
        <f t="shared" si="81"/>
        <v>59439.381400172904</v>
      </c>
      <c r="AT58" s="27" t="s">
        <v>76</v>
      </c>
      <c r="AU58" s="5">
        <f t="shared" si="63"/>
        <v>141203.49857510807</v>
      </c>
      <c r="AV58" s="5">
        <f t="shared" si="64"/>
        <v>48544.568300432278</v>
      </c>
      <c r="AW58" s="5">
        <f t="shared" si="65"/>
        <v>189748.06687554036</v>
      </c>
      <c r="AX58" s="25" t="s">
        <v>88</v>
      </c>
      <c r="AY58" s="26">
        <v>44</v>
      </c>
      <c r="AZ58" s="26">
        <v>44</v>
      </c>
      <c r="BA58" s="25" t="s">
        <v>88</v>
      </c>
      <c r="BB58" s="12">
        <f t="shared" si="89"/>
        <v>104053.8852</v>
      </c>
      <c r="BC58" s="5">
        <f t="shared" si="90"/>
        <v>14501.7</v>
      </c>
      <c r="BD58" s="22">
        <f t="shared" si="91"/>
        <v>118555.5852</v>
      </c>
      <c r="BE58" s="118">
        <v>30043</v>
      </c>
      <c r="BF58" s="157">
        <f t="shared" si="21"/>
        <v>66869.304205321008</v>
      </c>
      <c r="BG58" s="118">
        <v>14250</v>
      </c>
      <c r="BH58" s="158">
        <f t="shared" si="22"/>
        <v>223925.88940532101</v>
      </c>
      <c r="BI58" s="123">
        <v>12852</v>
      </c>
      <c r="BJ58" s="124"/>
      <c r="BK58" s="125">
        <f t="shared" si="23"/>
        <v>232925.88940532101</v>
      </c>
      <c r="BM58" s="158">
        <f t="shared" si="24"/>
        <v>223925.88940532101</v>
      </c>
    </row>
    <row r="59" spans="1:65" ht="15" x14ac:dyDescent="0.25">
      <c r="A59" s="31"/>
      <c r="B59" s="26"/>
      <c r="C59" s="15"/>
      <c r="D59" s="23"/>
      <c r="E59" s="22"/>
      <c r="F59" s="22"/>
      <c r="G59" s="20"/>
      <c r="H59" s="21"/>
      <c r="I59" s="20"/>
      <c r="J59" s="20"/>
      <c r="K59" s="20"/>
      <c r="L59" s="20"/>
      <c r="M59" s="20"/>
      <c r="N59" s="20"/>
      <c r="O59" s="20"/>
      <c r="P59" s="20"/>
      <c r="Q59" s="96">
        <v>0</v>
      </c>
      <c r="R59" s="35"/>
      <c r="S59" s="34"/>
      <c r="T59" s="19"/>
      <c r="U59" s="18"/>
      <c r="V59" s="17"/>
      <c r="W59" s="5"/>
      <c r="X59" s="32"/>
      <c r="Z59" s="4"/>
      <c r="AA59" s="12"/>
      <c r="AD59" s="16"/>
      <c r="AE59" s="16"/>
      <c r="AG59" s="31"/>
      <c r="AH59" s="26"/>
      <c r="AI59" s="15"/>
      <c r="AJ59" s="16"/>
      <c r="AL59" s="30">
        <f t="shared" si="61"/>
        <v>0</v>
      </c>
      <c r="AM59" s="30">
        <f t="shared" si="62"/>
        <v>0</v>
      </c>
      <c r="AN59" s="28">
        <f t="shared" si="76"/>
        <v>4000</v>
      </c>
      <c r="AO59" s="29">
        <f t="shared" si="77"/>
        <v>4000</v>
      </c>
      <c r="AP59" s="28">
        <f t="shared" si="78"/>
        <v>1600</v>
      </c>
      <c r="AQ59" s="28">
        <f t="shared" si="79"/>
        <v>1000</v>
      </c>
      <c r="AR59" s="5">
        <f t="shared" si="80"/>
        <v>1200</v>
      </c>
      <c r="AS59" s="5">
        <f t="shared" si="81"/>
        <v>1600</v>
      </c>
      <c r="AT59" s="27" t="s">
        <v>76</v>
      </c>
      <c r="AU59" s="5">
        <f t="shared" si="63"/>
        <v>1000</v>
      </c>
      <c r="AV59" s="5">
        <f t="shared" si="64"/>
        <v>8000</v>
      </c>
      <c r="AW59" s="5">
        <f t="shared" si="65"/>
        <v>9000</v>
      </c>
      <c r="AX59" s="15"/>
      <c r="AY59" s="26"/>
      <c r="AZ59" s="26"/>
      <c r="BA59" s="15"/>
      <c r="BB59" s="12"/>
      <c r="BC59" s="5"/>
      <c r="BD59" s="22"/>
      <c r="BE59" s="118"/>
      <c r="BF59" s="157"/>
      <c r="BG59" s="118"/>
      <c r="BH59" s="158"/>
      <c r="BI59" s="123"/>
      <c r="BJ59" s="124"/>
      <c r="BK59" s="125"/>
      <c r="BM59" s="158"/>
    </row>
    <row r="60" spans="1:65" x14ac:dyDescent="0.2">
      <c r="A60" s="43" t="s">
        <v>87</v>
      </c>
      <c r="B60" s="42">
        <v>30</v>
      </c>
      <c r="C60" s="41" t="s">
        <v>85</v>
      </c>
      <c r="D60" s="89">
        <v>10847.52</v>
      </c>
      <c r="E60" s="91">
        <v>300</v>
      </c>
      <c r="F60" s="91">
        <v>1600</v>
      </c>
      <c r="G60" s="91">
        <v>1233.1300000000001</v>
      </c>
      <c r="H60" s="92">
        <v>2902.06</v>
      </c>
      <c r="I60" s="91">
        <v>3637.24</v>
      </c>
      <c r="J60" s="91">
        <v>2345.92</v>
      </c>
      <c r="K60" s="91">
        <v>4951.63</v>
      </c>
      <c r="L60" s="91">
        <v>3695.66</v>
      </c>
      <c r="M60" s="91">
        <v>4653</v>
      </c>
      <c r="N60" s="91">
        <v>3902.23</v>
      </c>
      <c r="O60" s="91">
        <v>8013.68</v>
      </c>
      <c r="P60" s="91">
        <v>3093</v>
      </c>
      <c r="Q60" s="95">
        <v>19376.79</v>
      </c>
      <c r="R60" s="93">
        <f t="shared" ref="R60:R67" si="92">SUM(D60:Q60)*$R$1</f>
        <v>24650.819884000004</v>
      </c>
      <c r="S60" s="94">
        <f t="shared" ref="S60:S67" si="93">SUM(D60:R60)</f>
        <v>95202.679884000012</v>
      </c>
      <c r="T60" s="33"/>
      <c r="U60" s="18">
        <v>0.08</v>
      </c>
      <c r="V60" s="17"/>
      <c r="W60" s="5">
        <f t="shared" ref="W60:W67" si="94">+D60+E60+F60+G60+H60+I60+J60+K60+L60+M60+N60</f>
        <v>40068.390000000007</v>
      </c>
      <c r="X60" s="32">
        <v>7.7222496011493585E-2</v>
      </c>
      <c r="Y60" s="4">
        <f t="shared" ref="Y60:Y67" si="95">+W60*X60</f>
        <v>3094.1810869619699</v>
      </c>
      <c r="Z60" s="4">
        <f t="shared" ref="Z60:Z67" si="96">+P60-Y60</f>
        <v>-1.1810869619698678</v>
      </c>
      <c r="AA60" s="12"/>
      <c r="AD60" s="16">
        <f t="shared" ref="AD60:AD67" si="97">+R60*$AD$2</f>
        <v>20912.98229336584</v>
      </c>
      <c r="AE60" s="16">
        <f t="shared" ref="AE60:AE67" si="98">+S60+AD60</f>
        <v>116115.66217736586</v>
      </c>
      <c r="AG60" s="43" t="s">
        <v>87</v>
      </c>
      <c r="AH60" s="42">
        <v>30</v>
      </c>
      <c r="AI60" s="41" t="s">
        <v>85</v>
      </c>
      <c r="AJ60" s="16">
        <v>9653</v>
      </c>
      <c r="AL60" s="30">
        <f t="shared" si="61"/>
        <v>20912.98229336584</v>
      </c>
      <c r="AM60" s="30">
        <f t="shared" si="62"/>
        <v>116115.66217736586</v>
      </c>
      <c r="AN60" s="28">
        <f t="shared" si="76"/>
        <v>24912.98229336584</v>
      </c>
      <c r="AO60" s="29">
        <f t="shared" si="77"/>
        <v>120115.66217736586</v>
      </c>
      <c r="AP60" s="28">
        <f t="shared" si="78"/>
        <v>48046.264870946346</v>
      </c>
      <c r="AQ60" s="28">
        <f t="shared" si="79"/>
        <v>30028.915544341464</v>
      </c>
      <c r="AR60" s="5">
        <f t="shared" si="80"/>
        <v>36034.698653209758</v>
      </c>
      <c r="AS60" s="5">
        <f t="shared" si="81"/>
        <v>48046.264870946346</v>
      </c>
      <c r="AT60" s="27" t="s">
        <v>76</v>
      </c>
      <c r="AU60" s="5">
        <f t="shared" si="63"/>
        <v>113583.36542834147</v>
      </c>
      <c r="AV60" s="5">
        <f t="shared" si="64"/>
        <v>40561.212293365839</v>
      </c>
      <c r="AW60" s="5">
        <f t="shared" si="65"/>
        <v>154144.57772170729</v>
      </c>
      <c r="AX60" s="41" t="s">
        <v>85</v>
      </c>
      <c r="AY60" s="42">
        <v>30</v>
      </c>
      <c r="AZ60" s="42">
        <v>30</v>
      </c>
      <c r="BA60" s="41" t="s">
        <v>85</v>
      </c>
      <c r="BB60" s="12">
        <f t="shared" ref="BB60:BB67" si="99">+D60+E60+F60+G60+H60+I60+J60+K60+L60+O60+Q60+R60</f>
        <v>83554.449884000001</v>
      </c>
      <c r="BC60" s="5">
        <f t="shared" ref="BC60:BC67" si="100">+M60+N60+P60</f>
        <v>11648.23</v>
      </c>
      <c r="BD60" s="22">
        <f t="shared" ref="BD60:BD67" si="101">+BB60+BC60</f>
        <v>95202.679883999997</v>
      </c>
      <c r="BE60" s="118">
        <v>24913</v>
      </c>
      <c r="BF60" s="157">
        <f t="shared" si="21"/>
        <v>54052.048084309004</v>
      </c>
      <c r="BG60" s="118">
        <v>12257</v>
      </c>
      <c r="BH60" s="158">
        <f t="shared" si="22"/>
        <v>181771.72796830902</v>
      </c>
      <c r="BI60" s="123">
        <v>12094</v>
      </c>
      <c r="BJ60" s="124"/>
      <c r="BK60" s="125">
        <f t="shared" si="23"/>
        <v>190771.72796830902</v>
      </c>
      <c r="BM60" s="158">
        <f t="shared" si="24"/>
        <v>181771.72796830902</v>
      </c>
    </row>
    <row r="61" spans="1:65" x14ac:dyDescent="0.2">
      <c r="A61" s="31" t="s">
        <v>86</v>
      </c>
      <c r="B61" s="44">
        <v>15</v>
      </c>
      <c r="C61" s="25" t="s">
        <v>85</v>
      </c>
      <c r="D61" s="37">
        <v>5423.76</v>
      </c>
      <c r="E61" s="23">
        <v>300</v>
      </c>
      <c r="F61" s="23">
        <v>1600</v>
      </c>
      <c r="G61" s="20">
        <v>708.47</v>
      </c>
      <c r="H61" s="36">
        <v>2902.06</v>
      </c>
      <c r="I61" s="20">
        <v>3637.24</v>
      </c>
      <c r="J61" s="20">
        <v>1495.96</v>
      </c>
      <c r="K61" s="20">
        <v>2476.42</v>
      </c>
      <c r="L61" s="20">
        <v>2569.6799999999998</v>
      </c>
      <c r="M61" s="20">
        <v>2326</v>
      </c>
      <c r="N61" s="20">
        <v>2631.28</v>
      </c>
      <c r="O61" s="20">
        <v>5214.17</v>
      </c>
      <c r="P61" s="20">
        <v>1764</v>
      </c>
      <c r="Q61" s="97">
        <v>12513.56</v>
      </c>
      <c r="R61" s="35">
        <f t="shared" si="92"/>
        <v>15919.572439999998</v>
      </c>
      <c r="S61" s="34">
        <f t="shared" si="93"/>
        <v>61482.172439999995</v>
      </c>
      <c r="T61" s="33"/>
      <c r="U61" s="18">
        <v>0.08</v>
      </c>
      <c r="V61" s="17"/>
      <c r="W61" s="5">
        <f t="shared" si="94"/>
        <v>26070.870000000003</v>
      </c>
      <c r="X61" s="32">
        <v>6.5524609393215805E-2</v>
      </c>
      <c r="Y61" s="4">
        <f t="shared" si="95"/>
        <v>1708.2835732913084</v>
      </c>
      <c r="Z61" s="40">
        <f t="shared" si="96"/>
        <v>55.716426708691642</v>
      </c>
      <c r="AA61" s="12"/>
      <c r="AD61" s="16">
        <f t="shared" si="97"/>
        <v>13505.665861108555</v>
      </c>
      <c r="AE61" s="16">
        <f t="shared" si="98"/>
        <v>74987.838301108553</v>
      </c>
      <c r="AG61" s="31" t="s">
        <v>86</v>
      </c>
      <c r="AH61" s="44">
        <v>15</v>
      </c>
      <c r="AI61" s="25" t="s">
        <v>85</v>
      </c>
      <c r="AJ61" s="16">
        <v>7326</v>
      </c>
      <c r="AL61" s="30">
        <f t="shared" si="61"/>
        <v>13505.665861108555</v>
      </c>
      <c r="AM61" s="30">
        <f t="shared" si="62"/>
        <v>74987.838301108553</v>
      </c>
      <c r="AN61" s="28">
        <f t="shared" si="76"/>
        <v>17505.665861108555</v>
      </c>
      <c r="AO61" s="29">
        <f t="shared" si="77"/>
        <v>78987.838301108553</v>
      </c>
      <c r="AP61" s="28">
        <f t="shared" si="78"/>
        <v>31595.135320443424</v>
      </c>
      <c r="AQ61" s="28">
        <f t="shared" si="79"/>
        <v>19746.959575277138</v>
      </c>
      <c r="AR61" s="5">
        <f t="shared" si="80"/>
        <v>23696.351490332563</v>
      </c>
      <c r="AS61" s="5">
        <f t="shared" si="81"/>
        <v>31595.13532044342</v>
      </c>
      <c r="AT61" s="27" t="s">
        <v>76</v>
      </c>
      <c r="AU61" s="5">
        <f t="shared" si="63"/>
        <v>74507.852015277138</v>
      </c>
      <c r="AV61" s="5">
        <f t="shared" si="64"/>
        <v>28226.945861108557</v>
      </c>
      <c r="AW61" s="5">
        <f t="shared" si="65"/>
        <v>102734.7978763857</v>
      </c>
      <c r="AX61" s="25" t="s">
        <v>85</v>
      </c>
      <c r="AY61" s="44">
        <v>15</v>
      </c>
      <c r="AZ61" s="44">
        <v>15</v>
      </c>
      <c r="BA61" s="25" t="s">
        <v>85</v>
      </c>
      <c r="BB61" s="12">
        <f t="shared" si="99"/>
        <v>54760.892439999996</v>
      </c>
      <c r="BC61" s="5">
        <f t="shared" si="100"/>
        <v>6721.2800000000007</v>
      </c>
      <c r="BD61" s="22">
        <f t="shared" si="101"/>
        <v>61482.172439999995</v>
      </c>
      <c r="BE61" s="118">
        <v>17506</v>
      </c>
      <c r="BF61" s="157">
        <f t="shared" si="21"/>
        <v>35544.527302981616</v>
      </c>
      <c r="BG61" s="118">
        <v>8696</v>
      </c>
      <c r="BH61" s="158">
        <f t="shared" si="22"/>
        <v>120902.69974298161</v>
      </c>
      <c r="BI61" s="123">
        <v>10764</v>
      </c>
      <c r="BJ61" s="124"/>
      <c r="BK61" s="125">
        <f t="shared" si="23"/>
        <v>129902.69974298161</v>
      </c>
      <c r="BM61" s="158">
        <f t="shared" si="24"/>
        <v>120902.69974298161</v>
      </c>
    </row>
    <row r="62" spans="1:65" x14ac:dyDescent="0.2">
      <c r="A62" s="31" t="s">
        <v>86</v>
      </c>
      <c r="B62" s="26">
        <v>24</v>
      </c>
      <c r="C62" s="25" t="s">
        <v>85</v>
      </c>
      <c r="D62" s="37">
        <v>8678.02</v>
      </c>
      <c r="E62" s="23">
        <v>300</v>
      </c>
      <c r="F62" s="23">
        <v>1600</v>
      </c>
      <c r="G62" s="20">
        <v>1023.27</v>
      </c>
      <c r="H62" s="36">
        <v>2902.06</v>
      </c>
      <c r="I62" s="20">
        <v>3637.24</v>
      </c>
      <c r="J62" s="20">
        <v>2005.94</v>
      </c>
      <c r="K62" s="20">
        <v>4951.63</v>
      </c>
      <c r="L62" s="20">
        <v>3245.27</v>
      </c>
      <c r="M62" s="20">
        <v>4173</v>
      </c>
      <c r="N62" s="20">
        <v>3500.3</v>
      </c>
      <c r="O62" s="20">
        <v>7203.35</v>
      </c>
      <c r="P62" s="20">
        <v>2781</v>
      </c>
      <c r="Q62" s="97">
        <v>17417.82</v>
      </c>
      <c r="R62" s="35">
        <f t="shared" si="92"/>
        <v>22158.56366</v>
      </c>
      <c r="S62" s="34">
        <f t="shared" si="93"/>
        <v>85577.463660000009</v>
      </c>
      <c r="T62" s="33"/>
      <c r="U62" s="18">
        <v>0.08</v>
      </c>
      <c r="V62" s="17"/>
      <c r="W62" s="5">
        <f t="shared" si="94"/>
        <v>36016.730000000003</v>
      </c>
      <c r="X62" s="32">
        <v>7.7195064770917768E-2</v>
      </c>
      <c r="Y62" s="4">
        <f t="shared" si="95"/>
        <v>2780.3138051866572</v>
      </c>
      <c r="Z62" s="4">
        <f t="shared" si="96"/>
        <v>0.68619481334280863</v>
      </c>
      <c r="AA62" s="12"/>
      <c r="AD62" s="16">
        <f t="shared" si="97"/>
        <v>18798.630295001985</v>
      </c>
      <c r="AE62" s="16">
        <f t="shared" si="98"/>
        <v>104376.093955002</v>
      </c>
      <c r="AG62" s="31" t="s">
        <v>86</v>
      </c>
      <c r="AH62" s="26">
        <v>24</v>
      </c>
      <c r="AI62" s="25" t="s">
        <v>85</v>
      </c>
      <c r="AJ62" s="16">
        <v>9173</v>
      </c>
      <c r="AL62" s="30">
        <f t="shared" si="61"/>
        <v>18798.630295001985</v>
      </c>
      <c r="AM62" s="30">
        <f t="shared" si="62"/>
        <v>104376.093955002</v>
      </c>
      <c r="AN62" s="28">
        <f t="shared" si="76"/>
        <v>22798.630295001985</v>
      </c>
      <c r="AO62" s="29">
        <f t="shared" si="77"/>
        <v>108376.093955002</v>
      </c>
      <c r="AP62" s="28">
        <f t="shared" si="78"/>
        <v>43350.437582000799</v>
      </c>
      <c r="AQ62" s="28">
        <f t="shared" si="79"/>
        <v>27094.023488750496</v>
      </c>
      <c r="AR62" s="5">
        <f t="shared" si="80"/>
        <v>32512.828186500596</v>
      </c>
      <c r="AS62" s="5">
        <f t="shared" si="81"/>
        <v>43350.437582000792</v>
      </c>
      <c r="AT62" s="27" t="s">
        <v>76</v>
      </c>
      <c r="AU62" s="5">
        <f t="shared" si="63"/>
        <v>102217.18714875048</v>
      </c>
      <c r="AV62" s="5">
        <f t="shared" si="64"/>
        <v>37252.930295001985</v>
      </c>
      <c r="AW62" s="5">
        <f t="shared" si="65"/>
        <v>139470.11744375248</v>
      </c>
      <c r="AX62" s="25" t="s">
        <v>85</v>
      </c>
      <c r="AY62" s="26">
        <v>24</v>
      </c>
      <c r="AZ62" s="26">
        <v>24</v>
      </c>
      <c r="BA62" s="25" t="s">
        <v>85</v>
      </c>
      <c r="BB62" s="12">
        <f t="shared" si="99"/>
        <v>75123.163659999991</v>
      </c>
      <c r="BC62" s="5">
        <f t="shared" si="100"/>
        <v>10454.299999999999</v>
      </c>
      <c r="BD62" s="22">
        <f t="shared" si="101"/>
        <v>85577.463659999994</v>
      </c>
      <c r="BE62" s="118">
        <v>22799</v>
      </c>
      <c r="BF62" s="157">
        <f t="shared" si="21"/>
        <v>48769.24237368063</v>
      </c>
      <c r="BG62" s="118">
        <v>11424</v>
      </c>
      <c r="BH62" s="158">
        <f t="shared" si="22"/>
        <v>164396.70603368062</v>
      </c>
      <c r="BI62" s="123">
        <v>11781</v>
      </c>
      <c r="BJ62" s="124"/>
      <c r="BK62" s="125">
        <f t="shared" si="23"/>
        <v>173396.70603368062</v>
      </c>
      <c r="BM62" s="158">
        <f t="shared" si="24"/>
        <v>164396.70603368062</v>
      </c>
    </row>
    <row r="63" spans="1:65" x14ac:dyDescent="0.2">
      <c r="A63" s="31" t="s">
        <v>86</v>
      </c>
      <c r="B63" s="26">
        <v>28</v>
      </c>
      <c r="C63" s="25" t="s">
        <v>85</v>
      </c>
      <c r="D63" s="37">
        <v>10124.35</v>
      </c>
      <c r="E63" s="23">
        <v>300</v>
      </c>
      <c r="F63" s="23">
        <v>1600</v>
      </c>
      <c r="G63" s="20">
        <v>1163.18</v>
      </c>
      <c r="H63" s="36">
        <v>2902.06</v>
      </c>
      <c r="I63" s="20">
        <v>3637.24</v>
      </c>
      <c r="J63" s="20">
        <v>2232.59</v>
      </c>
      <c r="K63" s="20">
        <v>4951.63</v>
      </c>
      <c r="L63" s="20">
        <v>3545.53</v>
      </c>
      <c r="M63" s="20">
        <v>4493</v>
      </c>
      <c r="N63" s="20">
        <v>3768.25</v>
      </c>
      <c r="O63" s="20">
        <v>7743.57</v>
      </c>
      <c r="P63" s="20">
        <v>2989</v>
      </c>
      <c r="Q63" s="97">
        <v>18724.060000000001</v>
      </c>
      <c r="R63" s="35">
        <f t="shared" si="92"/>
        <v>23820.156324000003</v>
      </c>
      <c r="S63" s="34">
        <f t="shared" si="93"/>
        <v>91994.616324000002</v>
      </c>
      <c r="T63" s="33"/>
      <c r="U63" s="18">
        <v>0.08</v>
      </c>
      <c r="V63" s="17"/>
      <c r="W63" s="5">
        <f t="shared" si="94"/>
        <v>38717.83</v>
      </c>
      <c r="X63" s="32">
        <v>7.7225904853054236E-2</v>
      </c>
      <c r="Y63" s="4">
        <f t="shared" si="95"/>
        <v>2990.019455696729</v>
      </c>
      <c r="Z63" s="4">
        <f t="shared" si="96"/>
        <v>-1.0194556967289827</v>
      </c>
      <c r="AA63" s="12"/>
      <c r="AD63" s="16">
        <f t="shared" si="97"/>
        <v>20208.273386977718</v>
      </c>
      <c r="AE63" s="16">
        <f t="shared" si="98"/>
        <v>112202.88971097772</v>
      </c>
      <c r="AG63" s="31" t="s">
        <v>86</v>
      </c>
      <c r="AH63" s="26">
        <v>28</v>
      </c>
      <c r="AI63" s="25" t="s">
        <v>85</v>
      </c>
      <c r="AJ63" s="16">
        <v>9493</v>
      </c>
      <c r="AL63" s="30">
        <f t="shared" si="61"/>
        <v>20208.273386977718</v>
      </c>
      <c r="AM63" s="30">
        <f t="shared" si="62"/>
        <v>112202.88971097772</v>
      </c>
      <c r="AN63" s="28">
        <f t="shared" si="76"/>
        <v>24208.273386977718</v>
      </c>
      <c r="AO63" s="29">
        <f t="shared" si="77"/>
        <v>116202.88971097772</v>
      </c>
      <c r="AP63" s="28">
        <f t="shared" si="78"/>
        <v>46481.15588439109</v>
      </c>
      <c r="AQ63" s="28">
        <f t="shared" si="79"/>
        <v>29050.722427744433</v>
      </c>
      <c r="AR63" s="5">
        <f t="shared" si="80"/>
        <v>34860.866913293321</v>
      </c>
      <c r="AS63" s="5">
        <f t="shared" si="81"/>
        <v>46481.15588439109</v>
      </c>
      <c r="AT63" s="27" t="s">
        <v>76</v>
      </c>
      <c r="AU63" s="5">
        <f t="shared" si="63"/>
        <v>109795.08875174444</v>
      </c>
      <c r="AV63" s="5">
        <f t="shared" si="64"/>
        <v>39458.523386977715</v>
      </c>
      <c r="AW63" s="5">
        <f t="shared" si="65"/>
        <v>149253.61213872215</v>
      </c>
      <c r="AX63" s="25" t="s">
        <v>85</v>
      </c>
      <c r="AY63" s="26">
        <v>28</v>
      </c>
      <c r="AZ63" s="26">
        <v>28</v>
      </c>
      <c r="BA63" s="25" t="s">
        <v>85</v>
      </c>
      <c r="BB63" s="12">
        <f t="shared" si="99"/>
        <v>80744.366324000002</v>
      </c>
      <c r="BC63" s="5">
        <f t="shared" si="100"/>
        <v>11250.25</v>
      </c>
      <c r="BD63" s="22">
        <f t="shared" si="101"/>
        <v>91994.616324000002</v>
      </c>
      <c r="BE63" s="118">
        <v>24208</v>
      </c>
      <c r="BF63" s="157">
        <f t="shared" si="21"/>
        <v>52291.300470913178</v>
      </c>
      <c r="BG63" s="118">
        <v>11979</v>
      </c>
      <c r="BH63" s="158">
        <f t="shared" si="22"/>
        <v>175979.91679491318</v>
      </c>
      <c r="BI63" s="123">
        <v>11989</v>
      </c>
      <c r="BJ63" s="124"/>
      <c r="BK63" s="125">
        <f t="shared" si="23"/>
        <v>184979.91679491318</v>
      </c>
      <c r="BM63" s="158">
        <f t="shared" si="24"/>
        <v>175979.91679491318</v>
      </c>
    </row>
    <row r="64" spans="1:65" x14ac:dyDescent="0.2">
      <c r="A64" s="31" t="s">
        <v>86</v>
      </c>
      <c r="B64" s="26">
        <v>35</v>
      </c>
      <c r="C64" s="25" t="s">
        <v>85</v>
      </c>
      <c r="D64" s="37">
        <v>12655.44</v>
      </c>
      <c r="E64" s="23">
        <v>300</v>
      </c>
      <c r="F64" s="23">
        <v>1600</v>
      </c>
      <c r="G64" s="20">
        <v>1408.02</v>
      </c>
      <c r="H64" s="36">
        <v>2902.06</v>
      </c>
      <c r="I64" s="20">
        <v>3637.24</v>
      </c>
      <c r="J64" s="20">
        <v>2629.24</v>
      </c>
      <c r="K64" s="20">
        <v>4951.63</v>
      </c>
      <c r="L64" s="20">
        <v>4070.99</v>
      </c>
      <c r="M64" s="20">
        <v>5052</v>
      </c>
      <c r="N64" s="20">
        <v>4237.18</v>
      </c>
      <c r="O64" s="20">
        <v>8688.76</v>
      </c>
      <c r="P64" s="20">
        <v>3354</v>
      </c>
      <c r="Q64" s="97">
        <v>21009.52</v>
      </c>
      <c r="R64" s="35">
        <f t="shared" si="92"/>
        <v>26727.730351999999</v>
      </c>
      <c r="S64" s="34">
        <f t="shared" si="93"/>
        <v>103223.810352</v>
      </c>
      <c r="T64" s="33"/>
      <c r="U64" s="18">
        <v>0.08</v>
      </c>
      <c r="V64" s="17"/>
      <c r="W64" s="5">
        <f t="shared" si="94"/>
        <v>43443.8</v>
      </c>
      <c r="X64" s="32">
        <v>7.7207057250464173E-2</v>
      </c>
      <c r="Y64" s="4">
        <f t="shared" si="95"/>
        <v>3354.1679537777159</v>
      </c>
      <c r="Z64" s="4">
        <f t="shared" si="96"/>
        <v>-0.16795377771586573</v>
      </c>
      <c r="AA64" s="12"/>
      <c r="AD64" s="16">
        <f t="shared" si="97"/>
        <v>22674.967981735655</v>
      </c>
      <c r="AE64" s="16">
        <f t="shared" si="98"/>
        <v>125898.77833373565</v>
      </c>
      <c r="AG64" s="31" t="s">
        <v>86</v>
      </c>
      <c r="AH64" s="26">
        <v>35</v>
      </c>
      <c r="AI64" s="25" t="s">
        <v>85</v>
      </c>
      <c r="AJ64" s="16">
        <v>10052</v>
      </c>
      <c r="AL64" s="30">
        <f t="shared" si="61"/>
        <v>22674.967981735655</v>
      </c>
      <c r="AM64" s="30">
        <f t="shared" si="62"/>
        <v>125898.77833373565</v>
      </c>
      <c r="AN64" s="28">
        <f t="shared" si="76"/>
        <v>26674.967981735655</v>
      </c>
      <c r="AO64" s="29">
        <f t="shared" si="77"/>
        <v>129898.77833373565</v>
      </c>
      <c r="AP64" s="28">
        <f t="shared" si="78"/>
        <v>51959.511333494265</v>
      </c>
      <c r="AQ64" s="28">
        <f t="shared" si="79"/>
        <v>32474.694583433913</v>
      </c>
      <c r="AR64" s="5">
        <f t="shared" si="80"/>
        <v>38969.633500120697</v>
      </c>
      <c r="AS64" s="5">
        <f t="shared" si="81"/>
        <v>51959.511333494258</v>
      </c>
      <c r="AT64" s="27" t="s">
        <v>76</v>
      </c>
      <c r="AU64" s="5">
        <f t="shared" si="63"/>
        <v>123055.32493543392</v>
      </c>
      <c r="AV64" s="5">
        <f t="shared" si="64"/>
        <v>43318.147981735659</v>
      </c>
      <c r="AW64" s="5">
        <f t="shared" si="65"/>
        <v>166373.47291716957</v>
      </c>
      <c r="AX64" s="25" t="s">
        <v>85</v>
      </c>
      <c r="AY64" s="26">
        <v>35</v>
      </c>
      <c r="AZ64" s="26">
        <v>35</v>
      </c>
      <c r="BA64" s="25" t="s">
        <v>85</v>
      </c>
      <c r="BB64" s="12">
        <f t="shared" si="99"/>
        <v>90580.630352000007</v>
      </c>
      <c r="BC64" s="5">
        <f t="shared" si="100"/>
        <v>12643.18</v>
      </c>
      <c r="BD64" s="22">
        <f t="shared" si="101"/>
        <v>103223.810352</v>
      </c>
      <c r="BE64" s="118">
        <v>26675</v>
      </c>
      <c r="BF64" s="157">
        <f t="shared" si="21"/>
        <v>58454.450363479395</v>
      </c>
      <c r="BG64" s="118">
        <v>12949</v>
      </c>
      <c r="BH64" s="158">
        <f t="shared" si="22"/>
        <v>196250.26071547938</v>
      </c>
      <c r="BI64" s="123">
        <v>12354</v>
      </c>
      <c r="BJ64" s="124"/>
      <c r="BK64" s="125">
        <f t="shared" si="23"/>
        <v>205250.26071547938</v>
      </c>
      <c r="BM64" s="158">
        <f t="shared" si="24"/>
        <v>196250.26071547938</v>
      </c>
    </row>
    <row r="65" spans="1:65" x14ac:dyDescent="0.2">
      <c r="A65" s="31" t="s">
        <v>86</v>
      </c>
      <c r="B65" s="26">
        <v>36</v>
      </c>
      <c r="C65" s="25" t="s">
        <v>85</v>
      </c>
      <c r="D65" s="37">
        <v>13017.02</v>
      </c>
      <c r="E65" s="23">
        <v>300</v>
      </c>
      <c r="F65" s="23">
        <v>1600</v>
      </c>
      <c r="G65" s="20">
        <v>1443</v>
      </c>
      <c r="H65" s="36">
        <v>2902.06</v>
      </c>
      <c r="I65" s="20">
        <v>3637.24</v>
      </c>
      <c r="J65" s="20">
        <v>2685.91</v>
      </c>
      <c r="K65" s="20">
        <v>5611.85</v>
      </c>
      <c r="L65" s="20">
        <v>4146.05</v>
      </c>
      <c r="M65" s="20">
        <v>5217</v>
      </c>
      <c r="N65" s="20">
        <v>4375.1499999999996</v>
      </c>
      <c r="O65" s="20">
        <v>8987.06</v>
      </c>
      <c r="P65" s="20">
        <v>3469</v>
      </c>
      <c r="Q65" s="97">
        <v>21730.54</v>
      </c>
      <c r="R65" s="35">
        <f t="shared" si="92"/>
        <v>27645.184872000002</v>
      </c>
      <c r="S65" s="34">
        <f t="shared" si="93"/>
        <v>106767.064872</v>
      </c>
      <c r="T65" s="33"/>
      <c r="U65" s="18">
        <v>0.08</v>
      </c>
      <c r="V65" s="17"/>
      <c r="W65" s="5">
        <f t="shared" si="94"/>
        <v>44935.280000000006</v>
      </c>
      <c r="X65" s="32">
        <v>7.7204223183347451E-2</v>
      </c>
      <c r="Y65" s="4">
        <f t="shared" si="95"/>
        <v>3469.1933859262094</v>
      </c>
      <c r="Z65" s="4">
        <f t="shared" si="96"/>
        <v>-0.19338592620943018</v>
      </c>
      <c r="AA65" s="12"/>
      <c r="AD65" s="16">
        <f t="shared" si="97"/>
        <v>23453.307615955364</v>
      </c>
      <c r="AE65" s="16">
        <f t="shared" si="98"/>
        <v>130220.37248795536</v>
      </c>
      <c r="AG65" s="31" t="s">
        <v>86</v>
      </c>
      <c r="AH65" s="26">
        <v>36</v>
      </c>
      <c r="AI65" s="25" t="s">
        <v>85</v>
      </c>
      <c r="AJ65" s="16">
        <v>10217</v>
      </c>
      <c r="AL65" s="30">
        <f t="shared" si="61"/>
        <v>23453.307615955364</v>
      </c>
      <c r="AM65" s="30">
        <f t="shared" si="62"/>
        <v>130220.37248795536</v>
      </c>
      <c r="AN65" s="28">
        <f t="shared" si="76"/>
        <v>27453.307615955364</v>
      </c>
      <c r="AO65" s="29">
        <f t="shared" si="77"/>
        <v>134220.37248795538</v>
      </c>
      <c r="AP65" s="28">
        <f t="shared" si="78"/>
        <v>53688.148995182157</v>
      </c>
      <c r="AQ65" s="28">
        <f t="shared" si="79"/>
        <v>33555.093121988844</v>
      </c>
      <c r="AR65" s="5">
        <f t="shared" si="80"/>
        <v>40266.11174638661</v>
      </c>
      <c r="AS65" s="5">
        <f t="shared" si="81"/>
        <v>53688.14899518215</v>
      </c>
      <c r="AT65" s="27" t="s">
        <v>76</v>
      </c>
      <c r="AU65" s="5">
        <f t="shared" si="63"/>
        <v>127261.00799398885</v>
      </c>
      <c r="AV65" s="5">
        <f t="shared" si="64"/>
        <v>44514.457615955362</v>
      </c>
      <c r="AW65" s="5">
        <f t="shared" si="65"/>
        <v>171775.46560994422</v>
      </c>
      <c r="AX65" s="25" t="s">
        <v>85</v>
      </c>
      <c r="AY65" s="26">
        <v>36</v>
      </c>
      <c r="AZ65" s="26">
        <v>36</v>
      </c>
      <c r="BA65" s="25" t="s">
        <v>85</v>
      </c>
      <c r="BB65" s="12">
        <f t="shared" si="99"/>
        <v>93705.914872000008</v>
      </c>
      <c r="BC65" s="5">
        <f t="shared" si="100"/>
        <v>13061.15</v>
      </c>
      <c r="BD65" s="22">
        <f t="shared" si="101"/>
        <v>106767.064872</v>
      </c>
      <c r="BE65" s="118">
        <v>27453</v>
      </c>
      <c r="BF65" s="157">
        <f t="shared" si="21"/>
        <v>60399.16773676734</v>
      </c>
      <c r="BG65" s="118">
        <v>13244</v>
      </c>
      <c r="BH65" s="158">
        <f t="shared" si="22"/>
        <v>202646.23260876734</v>
      </c>
      <c r="BI65" s="123">
        <v>12469</v>
      </c>
      <c r="BJ65" s="124"/>
      <c r="BK65" s="125">
        <f t="shared" si="23"/>
        <v>211646.23260876734</v>
      </c>
      <c r="BM65" s="158">
        <f t="shared" si="24"/>
        <v>202646.23260876734</v>
      </c>
    </row>
    <row r="66" spans="1:65" x14ac:dyDescent="0.2">
      <c r="A66" s="31" t="s">
        <v>86</v>
      </c>
      <c r="B66" s="26">
        <v>40</v>
      </c>
      <c r="C66" s="25" t="s">
        <v>85</v>
      </c>
      <c r="D66" s="37">
        <v>14463.36</v>
      </c>
      <c r="E66" s="23">
        <v>300</v>
      </c>
      <c r="F66" s="23">
        <v>1600</v>
      </c>
      <c r="G66" s="20">
        <v>1582.91</v>
      </c>
      <c r="H66" s="36">
        <v>3506.65</v>
      </c>
      <c r="I66" s="20">
        <v>4546.55</v>
      </c>
      <c r="J66" s="20">
        <v>2985.12</v>
      </c>
      <c r="K66" s="20">
        <v>6382.1</v>
      </c>
      <c r="L66" s="20">
        <v>4686.13</v>
      </c>
      <c r="M66" s="20">
        <v>5911</v>
      </c>
      <c r="N66" s="20">
        <v>4957.9399999999996</v>
      </c>
      <c r="O66" s="20">
        <v>10184.35</v>
      </c>
      <c r="P66" s="20">
        <v>3931</v>
      </c>
      <c r="Q66" s="97">
        <v>24625.81</v>
      </c>
      <c r="R66" s="35">
        <f t="shared" si="92"/>
        <v>31328.224247999999</v>
      </c>
      <c r="S66" s="34">
        <f t="shared" si="93"/>
        <v>120991.144248</v>
      </c>
      <c r="T66" s="33"/>
      <c r="U66" s="18">
        <v>0.08</v>
      </c>
      <c r="V66" s="17"/>
      <c r="W66" s="5">
        <f t="shared" si="94"/>
        <v>50921.760000000002</v>
      </c>
      <c r="X66" s="32">
        <v>7.7219135131333536E-2</v>
      </c>
      <c r="Y66" s="4">
        <f t="shared" si="95"/>
        <v>3932.1342665653351</v>
      </c>
      <c r="Z66" s="4">
        <f t="shared" si="96"/>
        <v>-1.1342665653351105</v>
      </c>
      <c r="AA66" s="12"/>
      <c r="AD66" s="16">
        <f t="shared" si="97"/>
        <v>26577.882685608536</v>
      </c>
      <c r="AE66" s="16">
        <f t="shared" si="98"/>
        <v>147569.02693360852</v>
      </c>
      <c r="AG66" s="31" t="s">
        <v>86</v>
      </c>
      <c r="AH66" s="26">
        <v>40</v>
      </c>
      <c r="AI66" s="25" t="s">
        <v>85</v>
      </c>
      <c r="AJ66" s="16">
        <v>10911</v>
      </c>
      <c r="AL66" s="30">
        <f t="shared" si="61"/>
        <v>26577.882685608536</v>
      </c>
      <c r="AM66" s="30">
        <f t="shared" si="62"/>
        <v>147569.02693360852</v>
      </c>
      <c r="AN66" s="28">
        <f t="shared" si="76"/>
        <v>30577.882685608536</v>
      </c>
      <c r="AO66" s="29">
        <f t="shared" si="77"/>
        <v>151569.02693360852</v>
      </c>
      <c r="AP66" s="28">
        <f t="shared" si="78"/>
        <v>60627.610773443412</v>
      </c>
      <c r="AQ66" s="28">
        <f t="shared" si="79"/>
        <v>37892.256733402137</v>
      </c>
      <c r="AR66" s="5">
        <f t="shared" si="80"/>
        <v>45470.708080082557</v>
      </c>
      <c r="AS66" s="5">
        <f t="shared" si="81"/>
        <v>60627.610773443412</v>
      </c>
      <c r="AT66" s="27" t="s">
        <v>76</v>
      </c>
      <c r="AU66" s="5">
        <f t="shared" si="63"/>
        <v>144083.46098140214</v>
      </c>
      <c r="AV66" s="5">
        <f t="shared" si="64"/>
        <v>49377.822685608538</v>
      </c>
      <c r="AW66" s="5">
        <f t="shared" si="65"/>
        <v>193461.28366701066</v>
      </c>
      <c r="AX66" s="25" t="s">
        <v>85</v>
      </c>
      <c r="AY66" s="26">
        <v>40</v>
      </c>
      <c r="AZ66" s="26">
        <v>40</v>
      </c>
      <c r="BA66" s="25" t="s">
        <v>85</v>
      </c>
      <c r="BB66" s="12">
        <f t="shared" si="99"/>
        <v>106191.20424799999</v>
      </c>
      <c r="BC66" s="5">
        <f t="shared" si="100"/>
        <v>14799.939999999999</v>
      </c>
      <c r="BD66" s="22">
        <f t="shared" si="101"/>
        <v>120991.144248</v>
      </c>
      <c r="BE66" s="118">
        <v>30578</v>
      </c>
      <c r="BF66" s="157">
        <f t="shared" si="21"/>
        <v>68206.062252923599</v>
      </c>
      <c r="BG66" s="118">
        <v>14458</v>
      </c>
      <c r="BH66" s="158">
        <f t="shared" si="22"/>
        <v>228322.20650092361</v>
      </c>
      <c r="BI66" s="123">
        <v>12931</v>
      </c>
      <c r="BJ66" s="124"/>
      <c r="BK66" s="125">
        <f t="shared" si="23"/>
        <v>237322.20650092361</v>
      </c>
      <c r="BM66" s="158">
        <f t="shared" si="24"/>
        <v>228322.20650092361</v>
      </c>
    </row>
    <row r="67" spans="1:65" x14ac:dyDescent="0.2">
      <c r="A67" s="31" t="s">
        <v>86</v>
      </c>
      <c r="B67" s="26">
        <v>44</v>
      </c>
      <c r="C67" s="25" t="s">
        <v>85</v>
      </c>
      <c r="D67" s="37">
        <v>15909.7</v>
      </c>
      <c r="E67" s="23">
        <v>300</v>
      </c>
      <c r="F67" s="23">
        <v>1600</v>
      </c>
      <c r="G67" s="20">
        <v>1722.82</v>
      </c>
      <c r="H67" s="36">
        <v>3506.65</v>
      </c>
      <c r="I67" s="20">
        <v>4546.55</v>
      </c>
      <c r="J67" s="20">
        <v>3211.77</v>
      </c>
      <c r="K67" s="20">
        <v>6712.21</v>
      </c>
      <c r="L67" s="20">
        <v>4986.3900000000003</v>
      </c>
      <c r="M67" s="20">
        <v>6273</v>
      </c>
      <c r="N67" s="20">
        <v>5261.39</v>
      </c>
      <c r="O67" s="20">
        <v>10806.1</v>
      </c>
      <c r="P67" s="20">
        <v>4171</v>
      </c>
      <c r="Q67" s="97">
        <v>26129.06</v>
      </c>
      <c r="R67" s="35">
        <f t="shared" si="92"/>
        <v>33240.742015999997</v>
      </c>
      <c r="S67" s="34">
        <f t="shared" si="93"/>
        <v>128377.38201599999</v>
      </c>
      <c r="T67" s="33"/>
      <c r="U67" s="18">
        <v>0.08</v>
      </c>
      <c r="V67" s="17"/>
      <c r="W67" s="5">
        <f t="shared" si="94"/>
        <v>54030.48</v>
      </c>
      <c r="X67" s="32">
        <v>7.7211165668783333E-2</v>
      </c>
      <c r="Y67" s="4">
        <f t="shared" si="95"/>
        <v>4171.7563424438849</v>
      </c>
      <c r="Z67" s="4">
        <f t="shared" si="96"/>
        <v>-0.75634244388493244</v>
      </c>
      <c r="AA67" s="12"/>
      <c r="AD67" s="16">
        <f t="shared" si="97"/>
        <v>28200.402764297352</v>
      </c>
      <c r="AE67" s="16">
        <f t="shared" si="98"/>
        <v>156577.78478029734</v>
      </c>
      <c r="AG67" s="31" t="s">
        <v>86</v>
      </c>
      <c r="AH67" s="26">
        <v>44</v>
      </c>
      <c r="AI67" s="25" t="s">
        <v>85</v>
      </c>
      <c r="AJ67" s="16">
        <v>11273</v>
      </c>
      <c r="AL67" s="30">
        <f t="shared" si="61"/>
        <v>28200.402764297352</v>
      </c>
      <c r="AM67" s="30">
        <f t="shared" si="62"/>
        <v>156577.78478029734</v>
      </c>
      <c r="AN67" s="28">
        <f t="shared" si="76"/>
        <v>32200.402764297352</v>
      </c>
      <c r="AO67" s="29">
        <f t="shared" si="77"/>
        <v>160577.78478029734</v>
      </c>
      <c r="AP67" s="28">
        <f t="shared" si="78"/>
        <v>64231.113912118941</v>
      </c>
      <c r="AQ67" s="28">
        <f t="shared" si="79"/>
        <v>40144.446195074335</v>
      </c>
      <c r="AR67" s="5">
        <f t="shared" si="80"/>
        <v>48173.335434089204</v>
      </c>
      <c r="AS67" s="5">
        <f t="shared" si="81"/>
        <v>64231.113912118941</v>
      </c>
      <c r="AT67" s="27" t="s">
        <v>76</v>
      </c>
      <c r="AU67" s="5">
        <f t="shared" si="63"/>
        <v>152816.43821107433</v>
      </c>
      <c r="AV67" s="5">
        <f t="shared" si="64"/>
        <v>51905.792764297352</v>
      </c>
      <c r="AW67" s="5">
        <f t="shared" si="65"/>
        <v>204722.23097537167</v>
      </c>
      <c r="AX67" s="25" t="s">
        <v>85</v>
      </c>
      <c r="AY67" s="26">
        <v>44</v>
      </c>
      <c r="AZ67" s="26">
        <v>44</v>
      </c>
      <c r="BA67" s="25" t="s">
        <v>85</v>
      </c>
      <c r="BB67" s="12">
        <f t="shared" si="99"/>
        <v>112671.992016</v>
      </c>
      <c r="BC67" s="5">
        <f t="shared" si="100"/>
        <v>15705.39</v>
      </c>
      <c r="BD67" s="22">
        <f t="shared" si="101"/>
        <v>128377.382016</v>
      </c>
      <c r="BE67" s="118">
        <v>32200</v>
      </c>
      <c r="BF67" s="157">
        <f t="shared" si="21"/>
        <v>72260.003292040696</v>
      </c>
      <c r="BG67" s="118">
        <v>15090</v>
      </c>
      <c r="BH67" s="158">
        <f t="shared" si="22"/>
        <v>241654.38530804068</v>
      </c>
      <c r="BI67" s="123">
        <v>13171</v>
      </c>
      <c r="BJ67" s="124"/>
      <c r="BK67" s="125">
        <f t="shared" si="23"/>
        <v>250654.38530804068</v>
      </c>
      <c r="BM67" s="158">
        <f t="shared" si="24"/>
        <v>241654.38530804068</v>
      </c>
    </row>
    <row r="68" spans="1:65" ht="15" x14ac:dyDescent="0.25">
      <c r="A68" s="31"/>
      <c r="B68" s="26"/>
      <c r="C68" s="15"/>
      <c r="D68" s="23"/>
      <c r="E68" s="22"/>
      <c r="F68" s="22"/>
      <c r="G68" s="20"/>
      <c r="H68" s="21"/>
      <c r="I68" s="20"/>
      <c r="J68" s="20"/>
      <c r="K68" s="20"/>
      <c r="L68" s="20"/>
      <c r="M68" s="20"/>
      <c r="N68" s="20"/>
      <c r="O68" s="20"/>
      <c r="P68" s="20"/>
      <c r="Q68" s="96">
        <v>0</v>
      </c>
      <c r="R68" s="35"/>
      <c r="S68" s="34"/>
      <c r="T68" s="19"/>
      <c r="U68" s="18"/>
      <c r="V68" s="17"/>
      <c r="W68" s="5"/>
      <c r="X68" s="32"/>
      <c r="Z68" s="4"/>
      <c r="AA68" s="12"/>
      <c r="AD68" s="16"/>
      <c r="AE68" s="16"/>
      <c r="AG68" s="31"/>
      <c r="AH68" s="26"/>
      <c r="AI68" s="15"/>
      <c r="AJ68" s="16"/>
      <c r="AL68" s="30">
        <f t="shared" si="61"/>
        <v>0</v>
      </c>
      <c r="AM68" s="30">
        <f t="shared" si="62"/>
        <v>0</v>
      </c>
      <c r="AN68" s="28">
        <f t="shared" si="76"/>
        <v>4000</v>
      </c>
      <c r="AO68" s="29">
        <f t="shared" si="77"/>
        <v>4000</v>
      </c>
      <c r="AP68" s="28">
        <f t="shared" si="78"/>
        <v>1600</v>
      </c>
      <c r="AQ68" s="28">
        <f t="shared" si="79"/>
        <v>1000</v>
      </c>
      <c r="AR68" s="5">
        <f t="shared" si="80"/>
        <v>1200</v>
      </c>
      <c r="AS68" s="5">
        <f t="shared" si="81"/>
        <v>1600</v>
      </c>
      <c r="AT68" s="27" t="s">
        <v>76</v>
      </c>
      <c r="AU68" s="5">
        <f t="shared" si="63"/>
        <v>1000</v>
      </c>
      <c r="AV68" s="5">
        <f t="shared" si="64"/>
        <v>8000</v>
      </c>
      <c r="AW68" s="5">
        <f t="shared" si="65"/>
        <v>9000</v>
      </c>
      <c r="AX68" s="15"/>
      <c r="AY68" s="26"/>
      <c r="AZ68" s="26"/>
      <c r="BA68" s="15"/>
      <c r="BB68" s="12"/>
      <c r="BC68" s="5"/>
      <c r="BD68" s="22"/>
      <c r="BE68" s="118"/>
      <c r="BF68" s="157"/>
      <c r="BG68" s="118"/>
      <c r="BH68" s="158"/>
      <c r="BI68" s="123"/>
      <c r="BJ68" s="124"/>
      <c r="BK68" s="125"/>
      <c r="BM68" s="158"/>
    </row>
    <row r="69" spans="1:65" x14ac:dyDescent="0.2">
      <c r="A69" s="43" t="s">
        <v>84</v>
      </c>
      <c r="B69" s="42">
        <v>30</v>
      </c>
      <c r="C69" s="41" t="s">
        <v>82</v>
      </c>
      <c r="D69" s="89">
        <v>11721.02</v>
      </c>
      <c r="E69" s="91">
        <v>300</v>
      </c>
      <c r="F69" s="91">
        <v>1600</v>
      </c>
      <c r="G69" s="91">
        <v>1317.63</v>
      </c>
      <c r="H69" s="92">
        <v>2902.06</v>
      </c>
      <c r="I69" s="91">
        <v>3864.57</v>
      </c>
      <c r="J69" s="91">
        <v>2482.81</v>
      </c>
      <c r="K69" s="91">
        <v>5281.74</v>
      </c>
      <c r="L69" s="91">
        <v>3908.83</v>
      </c>
      <c r="M69" s="91">
        <v>4927</v>
      </c>
      <c r="N69" s="91">
        <v>4132.53</v>
      </c>
      <c r="O69" s="91">
        <v>8487.64</v>
      </c>
      <c r="P69" s="91">
        <v>3276</v>
      </c>
      <c r="Q69" s="95">
        <v>20522.900000000001</v>
      </c>
      <c r="R69" s="93">
        <f t="shared" ref="R69:R76" si="102">SUM(D69:Q69)*$R$1</f>
        <v>26108.820662000002</v>
      </c>
      <c r="S69" s="94">
        <f t="shared" ref="S69:S76" si="103">SUM(D69:R69)</f>
        <v>100833.55066200001</v>
      </c>
      <c r="T69" s="33"/>
      <c r="U69" s="18">
        <v>0.08</v>
      </c>
      <c r="V69" s="17"/>
      <c r="W69" s="5">
        <f t="shared" ref="W69:W76" si="104">+D69+E69+F69+G69+H69+I69+J69+K69+L69+M69+N69</f>
        <v>42438.19</v>
      </c>
      <c r="X69" s="32">
        <v>7.7222496011493585E-2</v>
      </c>
      <c r="Y69" s="4">
        <f t="shared" ref="Y69:Y76" si="105">+W69*X69</f>
        <v>3277.182958010007</v>
      </c>
      <c r="Z69" s="4">
        <f t="shared" ref="Z69:Z76" si="106">+P69-Y69</f>
        <v>-1.1829580100070416</v>
      </c>
      <c r="AA69" s="12"/>
      <c r="AD69" s="16">
        <f t="shared" ref="AD69:AD76" si="107">+R69*$AD$2</f>
        <v>22149.904415936635</v>
      </c>
      <c r="AE69" s="16">
        <f t="shared" ref="AE69:AE76" si="108">+S69+AD69</f>
        <v>122983.45507793664</v>
      </c>
      <c r="AG69" s="43" t="s">
        <v>84</v>
      </c>
      <c r="AH69" s="42">
        <v>30</v>
      </c>
      <c r="AI69" s="41" t="s">
        <v>82</v>
      </c>
      <c r="AJ69" s="16">
        <v>9927</v>
      </c>
      <c r="AL69" s="30">
        <f t="shared" si="61"/>
        <v>22149.904415936635</v>
      </c>
      <c r="AM69" s="30">
        <f t="shared" si="62"/>
        <v>122983.45507793664</v>
      </c>
      <c r="AN69" s="28">
        <f t="shared" si="76"/>
        <v>26149.904415936635</v>
      </c>
      <c r="AO69" s="29">
        <f t="shared" si="77"/>
        <v>126983.45507793664</v>
      </c>
      <c r="AP69" s="28">
        <f t="shared" si="78"/>
        <v>50793.38203117466</v>
      </c>
      <c r="AQ69" s="28">
        <f t="shared" si="79"/>
        <v>31745.86376948416</v>
      </c>
      <c r="AR69" s="5">
        <f t="shared" si="80"/>
        <v>38095.036523380993</v>
      </c>
      <c r="AS69" s="5">
        <f t="shared" si="81"/>
        <v>50793.38203117466</v>
      </c>
      <c r="AT69" s="27" t="s">
        <v>76</v>
      </c>
      <c r="AU69" s="5">
        <f t="shared" si="63"/>
        <v>120243.88443148417</v>
      </c>
      <c r="AV69" s="5">
        <f t="shared" si="64"/>
        <v>42485.43441593663</v>
      </c>
      <c r="AW69" s="5">
        <f t="shared" si="65"/>
        <v>162729.3188474208</v>
      </c>
      <c r="AX69" s="41" t="s">
        <v>82</v>
      </c>
      <c r="AY69" s="42">
        <v>30</v>
      </c>
      <c r="AZ69" s="42">
        <v>30</v>
      </c>
      <c r="BA69" s="41" t="s">
        <v>82</v>
      </c>
      <c r="BB69" s="12">
        <f t="shared" ref="BB69:BB76" si="109">+D69+E69+F69+G69+H69+I69+J69+K69+L69+O69+Q69+R69</f>
        <v>88498.02066200001</v>
      </c>
      <c r="BC69" s="5">
        <f t="shared" ref="BC69:BC76" si="110">+M69+N69+P69</f>
        <v>12335.529999999999</v>
      </c>
      <c r="BD69" s="22">
        <f t="shared" ref="BD69:BD76" si="111">+BB69+BC69</f>
        <v>100833.55066200001</v>
      </c>
      <c r="BE69" s="118">
        <v>26150</v>
      </c>
      <c r="BF69" s="157">
        <f t="shared" si="21"/>
        <v>57142.554895746289</v>
      </c>
      <c r="BG69" s="118">
        <v>12737</v>
      </c>
      <c r="BH69" s="158">
        <f t="shared" si="22"/>
        <v>191936.10555774631</v>
      </c>
      <c r="BI69" s="123">
        <v>12277</v>
      </c>
      <c r="BJ69" s="124"/>
      <c r="BK69" s="125">
        <f t="shared" si="23"/>
        <v>200936.10555774631</v>
      </c>
      <c r="BM69" s="158">
        <f t="shared" si="24"/>
        <v>191936.10555774631</v>
      </c>
    </row>
    <row r="70" spans="1:65" x14ac:dyDescent="0.2">
      <c r="A70" s="31" t="s">
        <v>83</v>
      </c>
      <c r="B70" s="44">
        <v>15</v>
      </c>
      <c r="C70" s="25" t="s">
        <v>82</v>
      </c>
      <c r="D70" s="37">
        <v>5860.51</v>
      </c>
      <c r="E70" s="23">
        <v>300</v>
      </c>
      <c r="F70" s="23">
        <v>1600</v>
      </c>
      <c r="G70" s="20">
        <v>750.71</v>
      </c>
      <c r="H70" s="36">
        <v>2902.06</v>
      </c>
      <c r="I70" s="20">
        <v>3864.57</v>
      </c>
      <c r="J70" s="20">
        <v>1564.4</v>
      </c>
      <c r="K70" s="20">
        <v>2640.87</v>
      </c>
      <c r="L70" s="20">
        <v>2692.17</v>
      </c>
      <c r="M70" s="20">
        <v>2464</v>
      </c>
      <c r="N70" s="20">
        <v>2762.85</v>
      </c>
      <c r="O70" s="20">
        <v>5480.43</v>
      </c>
      <c r="P70" s="20">
        <v>1861</v>
      </c>
      <c r="Q70" s="97">
        <v>13155.31</v>
      </c>
      <c r="R70" s="35">
        <f t="shared" si="102"/>
        <v>16735.868671999997</v>
      </c>
      <c r="S70" s="34">
        <f t="shared" si="103"/>
        <v>64634.748671999994</v>
      </c>
      <c r="T70" s="33"/>
      <c r="U70" s="18">
        <v>0.08</v>
      </c>
      <c r="V70" s="17"/>
      <c r="W70" s="5">
        <f t="shared" si="104"/>
        <v>27402.14</v>
      </c>
      <c r="X70" s="32">
        <v>6.5524609393215805E-2</v>
      </c>
      <c r="Y70" s="4">
        <f t="shared" si="105"/>
        <v>1795.5145200382144</v>
      </c>
      <c r="Z70" s="40">
        <f t="shared" si="106"/>
        <v>65.485479961785586</v>
      </c>
      <c r="AA70" s="12"/>
      <c r="AD70" s="16">
        <f t="shared" si="107"/>
        <v>14198.185977124556</v>
      </c>
      <c r="AE70" s="16">
        <f t="shared" si="108"/>
        <v>78832.934649124552</v>
      </c>
      <c r="AG70" s="31" t="s">
        <v>83</v>
      </c>
      <c r="AH70" s="44">
        <v>15</v>
      </c>
      <c r="AI70" s="25" t="s">
        <v>82</v>
      </c>
      <c r="AJ70" s="16">
        <v>7464</v>
      </c>
      <c r="AL70" s="30">
        <f t="shared" ref="AL70:AL94" si="112">+R70*$AL$2</f>
        <v>14198.185977124556</v>
      </c>
      <c r="AM70" s="30">
        <f t="shared" ref="AM70:AM94" si="113">+S70+AL70</f>
        <v>78832.934649124552</v>
      </c>
      <c r="AN70" s="28">
        <f t="shared" si="76"/>
        <v>18198.185977124558</v>
      </c>
      <c r="AO70" s="29">
        <f t="shared" si="77"/>
        <v>82832.934649124552</v>
      </c>
      <c r="AP70" s="28">
        <f t="shared" si="78"/>
        <v>33133.173859649825</v>
      </c>
      <c r="AQ70" s="28">
        <f t="shared" si="79"/>
        <v>20708.233662281138</v>
      </c>
      <c r="AR70" s="5">
        <f t="shared" si="80"/>
        <v>24849.880394737364</v>
      </c>
      <c r="AS70" s="5">
        <f t="shared" si="81"/>
        <v>33133.173859649818</v>
      </c>
      <c r="AT70" s="27" t="s">
        <v>76</v>
      </c>
      <c r="AU70" s="5">
        <f t="shared" ref="AU70:AU94" si="114">+D70+G70+H70+I70+J70+K70+L70+O70+Q70+R70+AQ70+E70+F70</f>
        <v>78255.132334281137</v>
      </c>
      <c r="AV70" s="5">
        <f t="shared" ref="AV70:AV94" si="115">+M70+N70+P70+AN70+4000</f>
        <v>29286.035977124557</v>
      </c>
      <c r="AW70" s="5">
        <f t="shared" ref="AW70:AW94" si="116">+AU70+AV70</f>
        <v>107541.16831140569</v>
      </c>
      <c r="AX70" s="25" t="s">
        <v>82</v>
      </c>
      <c r="AY70" s="44">
        <v>15</v>
      </c>
      <c r="AZ70" s="44">
        <v>15</v>
      </c>
      <c r="BA70" s="25" t="s">
        <v>82</v>
      </c>
      <c r="BB70" s="12">
        <f t="shared" si="109"/>
        <v>57546.898671999996</v>
      </c>
      <c r="BC70" s="5">
        <f t="shared" si="110"/>
        <v>7087.85</v>
      </c>
      <c r="BD70" s="22">
        <f t="shared" si="111"/>
        <v>64634.748671999994</v>
      </c>
      <c r="BE70" s="118">
        <v>18198</v>
      </c>
      <c r="BF70" s="157">
        <f t="shared" si="21"/>
        <v>37274.820663049082</v>
      </c>
      <c r="BG70" s="118">
        <v>8949</v>
      </c>
      <c r="BH70" s="158">
        <f t="shared" si="22"/>
        <v>126592.56933504908</v>
      </c>
      <c r="BI70" s="123">
        <v>10861</v>
      </c>
      <c r="BJ70" s="124"/>
      <c r="BK70" s="125">
        <f t="shared" si="23"/>
        <v>135592.56933504908</v>
      </c>
      <c r="BM70" s="158">
        <f t="shared" si="24"/>
        <v>126592.56933504908</v>
      </c>
    </row>
    <row r="71" spans="1:65" x14ac:dyDescent="0.2">
      <c r="A71" s="31" t="s">
        <v>83</v>
      </c>
      <c r="B71" s="26">
        <v>24</v>
      </c>
      <c r="C71" s="25" t="s">
        <v>82</v>
      </c>
      <c r="D71" s="37">
        <v>9376.82</v>
      </c>
      <c r="E71" s="23">
        <v>300</v>
      </c>
      <c r="F71" s="23">
        <v>1600</v>
      </c>
      <c r="G71" s="20">
        <v>1090.8699999999999</v>
      </c>
      <c r="H71" s="36">
        <v>2902.06</v>
      </c>
      <c r="I71" s="20">
        <v>3864.57</v>
      </c>
      <c r="J71" s="20">
        <v>2115.4499999999998</v>
      </c>
      <c r="K71" s="20">
        <v>5281.74</v>
      </c>
      <c r="L71" s="20">
        <v>3422.17</v>
      </c>
      <c r="M71" s="20">
        <v>4409</v>
      </c>
      <c r="N71" s="20">
        <v>3698.23</v>
      </c>
      <c r="O71" s="20">
        <v>7612.18</v>
      </c>
      <c r="P71" s="20">
        <v>2938</v>
      </c>
      <c r="Q71" s="97">
        <v>18406.09</v>
      </c>
      <c r="R71" s="35">
        <f t="shared" si="102"/>
        <v>23415.802692000001</v>
      </c>
      <c r="S71" s="34">
        <f t="shared" si="103"/>
        <v>90432.982692000005</v>
      </c>
      <c r="T71" s="33"/>
      <c r="U71" s="18">
        <v>0.08</v>
      </c>
      <c r="V71" s="17"/>
      <c r="W71" s="5">
        <f t="shared" si="104"/>
        <v>38060.910000000003</v>
      </c>
      <c r="X71" s="32">
        <v>7.7195064770917768E-2</v>
      </c>
      <c r="Y71" s="4">
        <f t="shared" si="105"/>
        <v>2938.1144126900722</v>
      </c>
      <c r="Z71" s="4">
        <f t="shared" si="106"/>
        <v>-0.1144126900721858</v>
      </c>
      <c r="AA71" s="12"/>
      <c r="AD71" s="16">
        <f t="shared" si="107"/>
        <v>19865.232450162352</v>
      </c>
      <c r="AE71" s="16">
        <f t="shared" si="108"/>
        <v>110298.21514216236</v>
      </c>
      <c r="AG71" s="31" t="s">
        <v>83</v>
      </c>
      <c r="AH71" s="26">
        <v>24</v>
      </c>
      <c r="AI71" s="25" t="s">
        <v>82</v>
      </c>
      <c r="AJ71" s="16">
        <v>9409</v>
      </c>
      <c r="AL71" s="30">
        <f t="shared" si="112"/>
        <v>19865.232450162352</v>
      </c>
      <c r="AM71" s="30">
        <f t="shared" si="113"/>
        <v>110298.21514216236</v>
      </c>
      <c r="AN71" s="28">
        <f t="shared" si="76"/>
        <v>23865.232450162352</v>
      </c>
      <c r="AO71" s="29">
        <f t="shared" si="77"/>
        <v>114298.21514216236</v>
      </c>
      <c r="AP71" s="28">
        <f t="shared" si="78"/>
        <v>45719.286056864948</v>
      </c>
      <c r="AQ71" s="28">
        <f t="shared" si="79"/>
        <v>28574.553785540589</v>
      </c>
      <c r="AR71" s="5">
        <f t="shared" si="80"/>
        <v>34289.464542648704</v>
      </c>
      <c r="AS71" s="5">
        <f t="shared" si="81"/>
        <v>45719.286056864941</v>
      </c>
      <c r="AT71" s="27" t="s">
        <v>76</v>
      </c>
      <c r="AU71" s="5">
        <f t="shared" si="114"/>
        <v>107962.30647754058</v>
      </c>
      <c r="AV71" s="5">
        <f t="shared" si="115"/>
        <v>38910.462450162348</v>
      </c>
      <c r="AW71" s="5">
        <f t="shared" si="116"/>
        <v>146872.76892770291</v>
      </c>
      <c r="AX71" s="25" t="s">
        <v>82</v>
      </c>
      <c r="AY71" s="26">
        <v>24</v>
      </c>
      <c r="AZ71" s="26">
        <v>24</v>
      </c>
      <c r="BA71" s="25" t="s">
        <v>82</v>
      </c>
      <c r="BB71" s="12">
        <f t="shared" si="109"/>
        <v>79387.752691999995</v>
      </c>
      <c r="BC71" s="5">
        <f t="shared" si="110"/>
        <v>11045.23</v>
      </c>
      <c r="BD71" s="22">
        <f t="shared" si="111"/>
        <v>90432.98269199999</v>
      </c>
      <c r="BE71" s="118">
        <v>23865</v>
      </c>
      <c r="BF71" s="157">
        <f t="shared" ref="BF71:BF94" si="117">+(R71*$BF$4)+1800</f>
        <v>51434.196913232212</v>
      </c>
      <c r="BG71" s="118">
        <v>11838</v>
      </c>
      <c r="BH71" s="158">
        <f t="shared" ref="BH71:BH94" si="118">+BD71+BE71+BF71+BG71-M71</f>
        <v>173161.1796052322</v>
      </c>
      <c r="BI71" s="123">
        <v>11938</v>
      </c>
      <c r="BJ71" s="124"/>
      <c r="BK71" s="125">
        <f t="shared" ref="BK71:BK94" si="119">+BH71+9000</f>
        <v>182161.1796052322</v>
      </c>
      <c r="BM71" s="158">
        <f t="shared" ref="BM71:BM94" si="120">+BH71</f>
        <v>173161.1796052322</v>
      </c>
    </row>
    <row r="72" spans="1:65" x14ac:dyDescent="0.2">
      <c r="A72" s="31" t="s">
        <v>83</v>
      </c>
      <c r="B72" s="26">
        <v>28</v>
      </c>
      <c r="C72" s="25" t="s">
        <v>82</v>
      </c>
      <c r="D72" s="37">
        <v>10939.62</v>
      </c>
      <c r="E72" s="23">
        <v>300</v>
      </c>
      <c r="F72" s="23">
        <v>1600</v>
      </c>
      <c r="G72" s="20">
        <v>1242.04</v>
      </c>
      <c r="H72" s="36">
        <v>2902.06</v>
      </c>
      <c r="I72" s="20">
        <v>3864.57</v>
      </c>
      <c r="J72" s="20">
        <v>2360.36</v>
      </c>
      <c r="K72" s="20">
        <v>5281.74</v>
      </c>
      <c r="L72" s="20">
        <v>3746.61</v>
      </c>
      <c r="M72" s="20">
        <v>4755</v>
      </c>
      <c r="N72" s="20">
        <v>3987.76</v>
      </c>
      <c r="O72" s="20">
        <v>8195.9500000000007</v>
      </c>
      <c r="P72" s="20">
        <v>3163</v>
      </c>
      <c r="Q72" s="97">
        <v>19817.740000000002</v>
      </c>
      <c r="R72" s="35">
        <f t="shared" si="102"/>
        <v>25211.463630000002</v>
      </c>
      <c r="S72" s="34">
        <f t="shared" si="103"/>
        <v>97367.91363000001</v>
      </c>
      <c r="T72" s="33"/>
      <c r="U72" s="18">
        <v>0.08</v>
      </c>
      <c r="V72" s="17"/>
      <c r="W72" s="5">
        <f t="shared" si="104"/>
        <v>40979.760000000002</v>
      </c>
      <c r="X72" s="32">
        <v>7.7225904853054236E-2</v>
      </c>
      <c r="Y72" s="4">
        <f t="shared" si="105"/>
        <v>3164.6990466609982</v>
      </c>
      <c r="Z72" s="4">
        <f t="shared" si="106"/>
        <v>-1.6990466609981922</v>
      </c>
      <c r="AA72" s="12"/>
      <c r="AD72" s="16">
        <f t="shared" si="107"/>
        <v>21388.614860077927</v>
      </c>
      <c r="AE72" s="16">
        <f t="shared" si="108"/>
        <v>118756.52849007794</v>
      </c>
      <c r="AG72" s="31" t="s">
        <v>83</v>
      </c>
      <c r="AH72" s="26">
        <v>28</v>
      </c>
      <c r="AI72" s="25" t="s">
        <v>82</v>
      </c>
      <c r="AJ72" s="16">
        <v>9755</v>
      </c>
      <c r="AL72" s="30">
        <f t="shared" si="112"/>
        <v>21388.614860077927</v>
      </c>
      <c r="AM72" s="30">
        <f t="shared" si="113"/>
        <v>118756.52849007794</v>
      </c>
      <c r="AN72" s="28">
        <f t="shared" si="76"/>
        <v>25388.614860077927</v>
      </c>
      <c r="AO72" s="29">
        <f t="shared" si="77"/>
        <v>122756.52849007794</v>
      </c>
      <c r="AP72" s="28">
        <f t="shared" si="78"/>
        <v>49102.611396031178</v>
      </c>
      <c r="AQ72" s="28">
        <f t="shared" si="79"/>
        <v>30689.132122519484</v>
      </c>
      <c r="AR72" s="5">
        <f t="shared" si="80"/>
        <v>36826.95854702338</v>
      </c>
      <c r="AS72" s="5">
        <f t="shared" si="81"/>
        <v>49102.611396031178</v>
      </c>
      <c r="AT72" s="27" t="s">
        <v>76</v>
      </c>
      <c r="AU72" s="5">
        <f t="shared" si="114"/>
        <v>116151.28575251948</v>
      </c>
      <c r="AV72" s="5">
        <f t="shared" si="115"/>
        <v>41294.374860077929</v>
      </c>
      <c r="AW72" s="5">
        <f t="shared" si="116"/>
        <v>157445.66061259742</v>
      </c>
      <c r="AX72" s="25" t="s">
        <v>82</v>
      </c>
      <c r="AY72" s="26">
        <v>28</v>
      </c>
      <c r="AZ72" s="26">
        <v>28</v>
      </c>
      <c r="BA72" s="25" t="s">
        <v>82</v>
      </c>
      <c r="BB72" s="12">
        <f t="shared" si="109"/>
        <v>85462.153630000001</v>
      </c>
      <c r="BC72" s="5">
        <f t="shared" si="110"/>
        <v>11905.76</v>
      </c>
      <c r="BD72" s="22">
        <f t="shared" si="111"/>
        <v>97367.913629999995</v>
      </c>
      <c r="BE72" s="118">
        <v>25389</v>
      </c>
      <c r="BF72" s="157">
        <f t="shared" si="117"/>
        <v>55240.437927405997</v>
      </c>
      <c r="BG72" s="118">
        <v>12438</v>
      </c>
      <c r="BH72" s="158">
        <f t="shared" si="118"/>
        <v>185680.35155740599</v>
      </c>
      <c r="BI72" s="123">
        <v>12163</v>
      </c>
      <c r="BJ72" s="124"/>
      <c r="BK72" s="125">
        <f t="shared" si="119"/>
        <v>194680.35155740599</v>
      </c>
      <c r="BM72" s="158">
        <f t="shared" si="120"/>
        <v>185680.35155740599</v>
      </c>
    </row>
    <row r="73" spans="1:65" x14ac:dyDescent="0.2">
      <c r="A73" s="31" t="s">
        <v>83</v>
      </c>
      <c r="B73" s="26">
        <v>35</v>
      </c>
      <c r="C73" s="25" t="s">
        <v>82</v>
      </c>
      <c r="D73" s="37">
        <v>13674.52</v>
      </c>
      <c r="E73" s="23">
        <v>300</v>
      </c>
      <c r="F73" s="23">
        <v>1600</v>
      </c>
      <c r="G73" s="20">
        <v>1506.6</v>
      </c>
      <c r="H73" s="36">
        <v>2902.06</v>
      </c>
      <c r="I73" s="20">
        <v>3864.57</v>
      </c>
      <c r="J73" s="20">
        <v>2788.94</v>
      </c>
      <c r="K73" s="20">
        <v>5281.74</v>
      </c>
      <c r="L73" s="20">
        <v>4314.38</v>
      </c>
      <c r="M73" s="20">
        <v>5359</v>
      </c>
      <c r="N73" s="20">
        <v>4494.45</v>
      </c>
      <c r="O73" s="20">
        <v>9217.25</v>
      </c>
      <c r="P73" s="20">
        <v>3557</v>
      </c>
      <c r="Q73" s="97">
        <v>22287.14</v>
      </c>
      <c r="R73" s="35">
        <f t="shared" si="102"/>
        <v>28352.988909999996</v>
      </c>
      <c r="S73" s="34">
        <f t="shared" si="103"/>
        <v>109500.63890999999</v>
      </c>
      <c r="T73" s="33"/>
      <c r="U73" s="18">
        <v>0.08</v>
      </c>
      <c r="V73" s="17"/>
      <c r="W73" s="5">
        <f t="shared" si="104"/>
        <v>46086.259999999995</v>
      </c>
      <c r="X73" s="32">
        <v>7.7207057250464173E-2</v>
      </c>
      <c r="Y73" s="4">
        <f t="shared" si="105"/>
        <v>3558.1845142797765</v>
      </c>
      <c r="Z73" s="4">
        <f t="shared" si="106"/>
        <v>-1.184514279776522</v>
      </c>
      <c r="AA73" s="12"/>
      <c r="AD73" s="16">
        <f t="shared" si="107"/>
        <v>24053.786357981888</v>
      </c>
      <c r="AE73" s="16">
        <f t="shared" si="108"/>
        <v>133554.42526798189</v>
      </c>
      <c r="AG73" s="31" t="s">
        <v>83</v>
      </c>
      <c r="AH73" s="26">
        <v>35</v>
      </c>
      <c r="AI73" s="25" t="s">
        <v>82</v>
      </c>
      <c r="AJ73" s="16">
        <v>10359</v>
      </c>
      <c r="AL73" s="30">
        <f t="shared" si="112"/>
        <v>24053.786357981888</v>
      </c>
      <c r="AM73" s="30">
        <f t="shared" si="113"/>
        <v>133554.42526798189</v>
      </c>
      <c r="AN73" s="28">
        <f t="shared" si="76"/>
        <v>28053.786357981888</v>
      </c>
      <c r="AO73" s="29">
        <f t="shared" si="77"/>
        <v>137554.42526798189</v>
      </c>
      <c r="AP73" s="28">
        <f t="shared" si="78"/>
        <v>55021.770107192759</v>
      </c>
      <c r="AQ73" s="28">
        <f t="shared" si="79"/>
        <v>34388.606316995472</v>
      </c>
      <c r="AR73" s="5">
        <f t="shared" si="80"/>
        <v>41266.327580394565</v>
      </c>
      <c r="AS73" s="5">
        <f t="shared" si="81"/>
        <v>55021.770107192751</v>
      </c>
      <c r="AT73" s="27" t="s">
        <v>76</v>
      </c>
      <c r="AU73" s="5">
        <f t="shared" si="114"/>
        <v>130478.79522699547</v>
      </c>
      <c r="AV73" s="5">
        <f t="shared" si="115"/>
        <v>45464.236357981892</v>
      </c>
      <c r="AW73" s="5">
        <f t="shared" si="116"/>
        <v>175943.03158497735</v>
      </c>
      <c r="AX73" s="25" t="s">
        <v>82</v>
      </c>
      <c r="AY73" s="26">
        <v>35</v>
      </c>
      <c r="AZ73" s="26">
        <v>35</v>
      </c>
      <c r="BA73" s="25" t="s">
        <v>82</v>
      </c>
      <c r="BB73" s="12">
        <f t="shared" si="109"/>
        <v>96090.188909999997</v>
      </c>
      <c r="BC73" s="5">
        <f t="shared" si="110"/>
        <v>13410.45</v>
      </c>
      <c r="BD73" s="22">
        <f t="shared" si="111"/>
        <v>109500.63890999999</v>
      </c>
      <c r="BE73" s="118">
        <v>28054</v>
      </c>
      <c r="BF73" s="157">
        <f t="shared" si="117"/>
        <v>61899.491490779634</v>
      </c>
      <c r="BG73" s="118">
        <v>13486</v>
      </c>
      <c r="BH73" s="158">
        <f t="shared" si="118"/>
        <v>207581.1304007796</v>
      </c>
      <c r="BI73" s="123">
        <v>12557</v>
      </c>
      <c r="BJ73" s="124"/>
      <c r="BK73" s="125">
        <f t="shared" si="119"/>
        <v>216581.1304007796</v>
      </c>
      <c r="BM73" s="158">
        <f t="shared" si="120"/>
        <v>207581.1304007796</v>
      </c>
    </row>
    <row r="74" spans="1:65" x14ac:dyDescent="0.2">
      <c r="A74" s="31" t="s">
        <v>83</v>
      </c>
      <c r="B74" s="26">
        <v>36</v>
      </c>
      <c r="C74" s="25" t="s">
        <v>82</v>
      </c>
      <c r="D74" s="37">
        <v>14065.22</v>
      </c>
      <c r="E74" s="23">
        <v>300</v>
      </c>
      <c r="F74" s="23">
        <v>1600</v>
      </c>
      <c r="G74" s="20">
        <v>1544.4</v>
      </c>
      <c r="H74" s="36">
        <v>2902.06</v>
      </c>
      <c r="I74" s="20">
        <v>3864.57</v>
      </c>
      <c r="J74" s="20">
        <v>2850.17</v>
      </c>
      <c r="K74" s="20">
        <v>5941.96</v>
      </c>
      <c r="L74" s="20">
        <v>4395.49</v>
      </c>
      <c r="M74" s="20">
        <v>5530</v>
      </c>
      <c r="N74" s="20">
        <v>4637.8100000000004</v>
      </c>
      <c r="O74" s="20">
        <v>9526.34</v>
      </c>
      <c r="P74" s="20">
        <v>3677</v>
      </c>
      <c r="Q74" s="97">
        <v>23034.58</v>
      </c>
      <c r="R74" s="35">
        <f t="shared" si="102"/>
        <v>29304.038239999994</v>
      </c>
      <c r="S74" s="34">
        <f t="shared" si="103"/>
        <v>113173.63823999999</v>
      </c>
      <c r="T74" s="33"/>
      <c r="U74" s="18">
        <v>0.08</v>
      </c>
      <c r="V74" s="17"/>
      <c r="W74" s="5">
        <f t="shared" si="104"/>
        <v>47631.679999999993</v>
      </c>
      <c r="X74" s="32">
        <v>7.7204223183347451E-2</v>
      </c>
      <c r="Y74" s="4">
        <f t="shared" si="105"/>
        <v>3677.3668533177865</v>
      </c>
      <c r="Z74" s="4">
        <f t="shared" si="106"/>
        <v>-0.36685331778653563</v>
      </c>
      <c r="AA74" s="12"/>
      <c r="AD74" s="16">
        <f t="shared" si="107"/>
        <v>24860.626775136407</v>
      </c>
      <c r="AE74" s="16">
        <f t="shared" si="108"/>
        <v>138034.26501513639</v>
      </c>
      <c r="AG74" s="31" t="s">
        <v>83</v>
      </c>
      <c r="AH74" s="26">
        <v>36</v>
      </c>
      <c r="AI74" s="25" t="s">
        <v>82</v>
      </c>
      <c r="AJ74" s="16">
        <v>10530</v>
      </c>
      <c r="AL74" s="30">
        <f t="shared" si="112"/>
        <v>24860.626775136407</v>
      </c>
      <c r="AM74" s="30">
        <f t="shared" si="113"/>
        <v>138034.26501513639</v>
      </c>
      <c r="AN74" s="28">
        <f t="shared" si="76"/>
        <v>28860.626775136407</v>
      </c>
      <c r="AO74" s="29">
        <f t="shared" si="77"/>
        <v>142034.26501513639</v>
      </c>
      <c r="AP74" s="28">
        <f t="shared" si="78"/>
        <v>56813.706006054563</v>
      </c>
      <c r="AQ74" s="28">
        <f t="shared" si="79"/>
        <v>35508.566253784098</v>
      </c>
      <c r="AR74" s="5">
        <f t="shared" si="80"/>
        <v>42610.279504540915</v>
      </c>
      <c r="AS74" s="5">
        <f t="shared" si="81"/>
        <v>56813.706006054555</v>
      </c>
      <c r="AT74" s="27" t="s">
        <v>76</v>
      </c>
      <c r="AU74" s="5">
        <f t="shared" si="114"/>
        <v>134837.39449378409</v>
      </c>
      <c r="AV74" s="5">
        <f t="shared" si="115"/>
        <v>46705.436775136404</v>
      </c>
      <c r="AW74" s="5">
        <f t="shared" si="116"/>
        <v>181542.8312689205</v>
      </c>
      <c r="AX74" s="25" t="s">
        <v>82</v>
      </c>
      <c r="AY74" s="26">
        <v>36</v>
      </c>
      <c r="AZ74" s="26">
        <v>36</v>
      </c>
      <c r="BA74" s="25" t="s">
        <v>82</v>
      </c>
      <c r="BB74" s="12">
        <f t="shared" si="109"/>
        <v>99328.828239999988</v>
      </c>
      <c r="BC74" s="5">
        <f t="shared" si="110"/>
        <v>13844.810000000001</v>
      </c>
      <c r="BD74" s="22">
        <f t="shared" si="111"/>
        <v>113173.63823999999</v>
      </c>
      <c r="BE74" s="118">
        <v>28861</v>
      </c>
      <c r="BF74" s="157">
        <f t="shared" si="117"/>
        <v>63915.419381030646</v>
      </c>
      <c r="BG74" s="118">
        <v>13791</v>
      </c>
      <c r="BH74" s="158">
        <f t="shared" si="118"/>
        <v>214211.05762103066</v>
      </c>
      <c r="BI74" s="123">
        <v>12677</v>
      </c>
      <c r="BJ74" s="124"/>
      <c r="BK74" s="125">
        <f t="shared" si="119"/>
        <v>223211.05762103066</v>
      </c>
      <c r="BM74" s="158">
        <f t="shared" si="120"/>
        <v>214211.05762103066</v>
      </c>
    </row>
    <row r="75" spans="1:65" x14ac:dyDescent="0.2">
      <c r="A75" s="31" t="s">
        <v>83</v>
      </c>
      <c r="B75" s="26">
        <v>40</v>
      </c>
      <c r="C75" s="25" t="s">
        <v>82</v>
      </c>
      <c r="D75" s="37">
        <v>15628.03</v>
      </c>
      <c r="E75" s="23">
        <v>300</v>
      </c>
      <c r="F75" s="23">
        <v>1600</v>
      </c>
      <c r="G75" s="20">
        <v>1695.58</v>
      </c>
      <c r="H75" s="36">
        <v>3506.65</v>
      </c>
      <c r="I75" s="20">
        <v>4773.88</v>
      </c>
      <c r="J75" s="20">
        <v>3167.63</v>
      </c>
      <c r="K75" s="20">
        <v>6712.21</v>
      </c>
      <c r="L75" s="20">
        <v>4959.74</v>
      </c>
      <c r="M75" s="20">
        <v>6250</v>
      </c>
      <c r="N75" s="20">
        <v>5242.18</v>
      </c>
      <c r="O75" s="20">
        <v>10767.18</v>
      </c>
      <c r="P75" s="20">
        <v>4156</v>
      </c>
      <c r="Q75" s="97">
        <v>26034.87</v>
      </c>
      <c r="R75" s="35">
        <f t="shared" si="102"/>
        <v>33121.006129999994</v>
      </c>
      <c r="S75" s="34">
        <f t="shared" si="103"/>
        <v>127914.95612999999</v>
      </c>
      <c r="T75" s="33"/>
      <c r="U75" s="18">
        <v>0.08</v>
      </c>
      <c r="V75" s="17"/>
      <c r="W75" s="5">
        <f t="shared" si="104"/>
        <v>53835.9</v>
      </c>
      <c r="X75" s="32">
        <v>7.7219135131333536E-2</v>
      </c>
      <c r="Y75" s="4">
        <f t="shared" si="105"/>
        <v>4157.1616370169595</v>
      </c>
      <c r="Z75" s="4">
        <f t="shared" si="106"/>
        <v>-1.1616370169595029</v>
      </c>
      <c r="AA75" s="12"/>
      <c r="AD75" s="16">
        <f t="shared" si="107"/>
        <v>28098.822594729696</v>
      </c>
      <c r="AE75" s="16">
        <f t="shared" si="108"/>
        <v>156013.77872472969</v>
      </c>
      <c r="AG75" s="31" t="s">
        <v>83</v>
      </c>
      <c r="AH75" s="26">
        <v>40</v>
      </c>
      <c r="AI75" s="25" t="s">
        <v>82</v>
      </c>
      <c r="AJ75" s="16">
        <v>11250</v>
      </c>
      <c r="AL75" s="30">
        <f t="shared" si="112"/>
        <v>28098.822594729696</v>
      </c>
      <c r="AM75" s="30">
        <f t="shared" si="113"/>
        <v>156013.77872472969</v>
      </c>
      <c r="AN75" s="28">
        <f t="shared" si="76"/>
        <v>32098.822594729696</v>
      </c>
      <c r="AO75" s="29">
        <f t="shared" si="77"/>
        <v>160013.77872472969</v>
      </c>
      <c r="AP75" s="28">
        <f t="shared" si="78"/>
        <v>64005.511489891884</v>
      </c>
      <c r="AQ75" s="28">
        <f t="shared" si="79"/>
        <v>40003.444681182424</v>
      </c>
      <c r="AR75" s="5">
        <f t="shared" si="80"/>
        <v>48004.133617418898</v>
      </c>
      <c r="AS75" s="5">
        <f t="shared" si="81"/>
        <v>64005.511489891869</v>
      </c>
      <c r="AT75" s="27" t="s">
        <v>76</v>
      </c>
      <c r="AU75" s="5">
        <f t="shared" si="114"/>
        <v>152270.22081118243</v>
      </c>
      <c r="AV75" s="5">
        <f t="shared" si="115"/>
        <v>51747.002594729696</v>
      </c>
      <c r="AW75" s="5">
        <f t="shared" si="116"/>
        <v>204017.22340591211</v>
      </c>
      <c r="AX75" s="25" t="s">
        <v>82</v>
      </c>
      <c r="AY75" s="26">
        <v>40</v>
      </c>
      <c r="AZ75" s="26">
        <v>40</v>
      </c>
      <c r="BA75" s="25" t="s">
        <v>82</v>
      </c>
      <c r="BB75" s="12">
        <f t="shared" si="109"/>
        <v>112266.77613</v>
      </c>
      <c r="BC75" s="5">
        <f t="shared" si="110"/>
        <v>15648.18</v>
      </c>
      <c r="BD75" s="22">
        <f t="shared" si="111"/>
        <v>127914.95613000001</v>
      </c>
      <c r="BE75" s="118">
        <v>32099</v>
      </c>
      <c r="BF75" s="157">
        <f t="shared" si="117"/>
        <v>72006.200566527681</v>
      </c>
      <c r="BG75" s="118">
        <v>15050</v>
      </c>
      <c r="BH75" s="158">
        <f t="shared" si="118"/>
        <v>240820.15669652767</v>
      </c>
      <c r="BI75" s="123">
        <v>13156</v>
      </c>
      <c r="BJ75" s="124"/>
      <c r="BK75" s="125">
        <f t="shared" si="119"/>
        <v>249820.15669652767</v>
      </c>
      <c r="BM75" s="158">
        <f t="shared" si="120"/>
        <v>240820.15669652767</v>
      </c>
    </row>
    <row r="76" spans="1:65" x14ac:dyDescent="0.2">
      <c r="A76" s="31" t="s">
        <v>83</v>
      </c>
      <c r="B76" s="26">
        <v>44</v>
      </c>
      <c r="C76" s="25" t="s">
        <v>82</v>
      </c>
      <c r="D76" s="37">
        <v>17190.830000000002</v>
      </c>
      <c r="E76" s="23">
        <v>300</v>
      </c>
      <c r="F76" s="23">
        <v>1600</v>
      </c>
      <c r="G76" s="20">
        <v>1846.76</v>
      </c>
      <c r="H76" s="36">
        <v>3506.65</v>
      </c>
      <c r="I76" s="20">
        <v>4773.88</v>
      </c>
      <c r="J76" s="20">
        <v>3412.54</v>
      </c>
      <c r="K76" s="20">
        <v>7152.36</v>
      </c>
      <c r="L76" s="20">
        <v>5284.18</v>
      </c>
      <c r="M76" s="20">
        <v>6652</v>
      </c>
      <c r="N76" s="20">
        <v>5579.04</v>
      </c>
      <c r="O76" s="20">
        <v>11459.65</v>
      </c>
      <c r="P76" s="20">
        <v>4423</v>
      </c>
      <c r="Q76" s="97">
        <v>27709.46</v>
      </c>
      <c r="R76" s="35">
        <f t="shared" si="102"/>
        <v>35251.08829</v>
      </c>
      <c r="S76" s="34">
        <f t="shared" si="103"/>
        <v>136141.43829000002</v>
      </c>
      <c r="T76" s="33"/>
      <c r="U76" s="18">
        <v>0.08</v>
      </c>
      <c r="V76" s="17"/>
      <c r="W76" s="5">
        <f t="shared" si="104"/>
        <v>57298.240000000005</v>
      </c>
      <c r="X76" s="32">
        <v>7.7211165668783333E-2</v>
      </c>
      <c r="Y76" s="4">
        <f t="shared" si="105"/>
        <v>4424.0639011697085</v>
      </c>
      <c r="Z76" s="4">
        <f t="shared" si="106"/>
        <v>-1.0639011697085152</v>
      </c>
      <c r="AA76" s="12"/>
      <c r="AD76" s="16">
        <f t="shared" si="107"/>
        <v>29905.917478596341</v>
      </c>
      <c r="AE76" s="16">
        <f t="shared" si="108"/>
        <v>166047.35576859635</v>
      </c>
      <c r="AG76" s="31" t="s">
        <v>83</v>
      </c>
      <c r="AH76" s="26">
        <v>44</v>
      </c>
      <c r="AI76" s="25" t="s">
        <v>82</v>
      </c>
      <c r="AJ76" s="16">
        <v>11652</v>
      </c>
      <c r="AL76" s="30">
        <f t="shared" si="112"/>
        <v>29905.917478596341</v>
      </c>
      <c r="AM76" s="30">
        <f t="shared" si="113"/>
        <v>166047.35576859635</v>
      </c>
      <c r="AN76" s="28">
        <f t="shared" si="76"/>
        <v>33905.917478596341</v>
      </c>
      <c r="AO76" s="29">
        <f t="shared" si="77"/>
        <v>170047.35576859635</v>
      </c>
      <c r="AP76" s="28">
        <f t="shared" si="78"/>
        <v>68018.942307438541</v>
      </c>
      <c r="AQ76" s="28">
        <f t="shared" si="79"/>
        <v>42511.838942149087</v>
      </c>
      <c r="AR76" s="5">
        <f t="shared" si="80"/>
        <v>51014.206730578902</v>
      </c>
      <c r="AS76" s="5">
        <f t="shared" si="81"/>
        <v>68018.942307438541</v>
      </c>
      <c r="AT76" s="27" t="s">
        <v>76</v>
      </c>
      <c r="AU76" s="5">
        <f t="shared" si="114"/>
        <v>161999.23723214908</v>
      </c>
      <c r="AV76" s="5">
        <f t="shared" si="115"/>
        <v>54559.957478596341</v>
      </c>
      <c r="AW76" s="5">
        <f t="shared" si="116"/>
        <v>216559.19471074542</v>
      </c>
      <c r="AX76" s="25" t="s">
        <v>82</v>
      </c>
      <c r="AY76" s="26">
        <v>44</v>
      </c>
      <c r="AZ76" s="26">
        <v>44</v>
      </c>
      <c r="BA76" s="25" t="s">
        <v>82</v>
      </c>
      <c r="BB76" s="12">
        <f t="shared" si="109"/>
        <v>119487.39829</v>
      </c>
      <c r="BC76" s="5">
        <f t="shared" si="110"/>
        <v>16654.04</v>
      </c>
      <c r="BD76" s="22">
        <f t="shared" si="111"/>
        <v>136141.43828999999</v>
      </c>
      <c r="BE76" s="118">
        <v>33906</v>
      </c>
      <c r="BF76" s="157">
        <f t="shared" si="117"/>
        <v>76521.310245297063</v>
      </c>
      <c r="BG76" s="118">
        <v>15753</v>
      </c>
      <c r="BH76" s="158">
        <f t="shared" si="118"/>
        <v>255669.74853529705</v>
      </c>
      <c r="BI76" s="123">
        <v>13423</v>
      </c>
      <c r="BJ76" s="124"/>
      <c r="BK76" s="125">
        <f t="shared" si="119"/>
        <v>264669.74853529705</v>
      </c>
      <c r="BM76" s="158">
        <f t="shared" si="120"/>
        <v>255669.74853529705</v>
      </c>
    </row>
    <row r="77" spans="1:65" ht="15" x14ac:dyDescent="0.25">
      <c r="A77" s="31"/>
      <c r="B77" s="26"/>
      <c r="C77" s="15"/>
      <c r="D77" s="23"/>
      <c r="E77" s="22"/>
      <c r="F77" s="22"/>
      <c r="G77" s="20"/>
      <c r="H77" s="21"/>
      <c r="I77" s="20"/>
      <c r="J77" s="20"/>
      <c r="K77" s="20"/>
      <c r="L77" s="20"/>
      <c r="M77" s="20"/>
      <c r="N77" s="20"/>
      <c r="O77" s="20"/>
      <c r="P77" s="20"/>
      <c r="Q77" s="96">
        <v>0</v>
      </c>
      <c r="R77" s="35"/>
      <c r="S77" s="34"/>
      <c r="T77" s="19"/>
      <c r="U77" s="18"/>
      <c r="V77" s="17"/>
      <c r="W77" s="5"/>
      <c r="X77" s="32"/>
      <c r="Z77" s="4"/>
      <c r="AA77" s="12"/>
      <c r="AD77" s="16"/>
      <c r="AE77" s="16"/>
      <c r="AG77" s="31"/>
      <c r="AH77" s="26"/>
      <c r="AI77" s="15"/>
      <c r="AJ77" s="16"/>
      <c r="AL77" s="30">
        <f t="shared" si="112"/>
        <v>0</v>
      </c>
      <c r="AM77" s="30">
        <f t="shared" si="113"/>
        <v>0</v>
      </c>
      <c r="AN77" s="28">
        <f t="shared" si="76"/>
        <v>4000</v>
      </c>
      <c r="AO77" s="29">
        <f t="shared" si="77"/>
        <v>4000</v>
      </c>
      <c r="AP77" s="28">
        <f t="shared" si="78"/>
        <v>1600</v>
      </c>
      <c r="AQ77" s="28">
        <f t="shared" si="79"/>
        <v>1000</v>
      </c>
      <c r="AR77" s="5">
        <f t="shared" si="80"/>
        <v>1200</v>
      </c>
      <c r="AS77" s="5">
        <f t="shared" si="81"/>
        <v>1600</v>
      </c>
      <c r="AT77" s="27" t="s">
        <v>76</v>
      </c>
      <c r="AU77" s="5">
        <f t="shared" si="114"/>
        <v>1000</v>
      </c>
      <c r="AV77" s="5">
        <f t="shared" si="115"/>
        <v>8000</v>
      </c>
      <c r="AW77" s="5">
        <f t="shared" si="116"/>
        <v>9000</v>
      </c>
      <c r="AX77" s="15"/>
      <c r="AY77" s="26"/>
      <c r="AZ77" s="26"/>
      <c r="BA77" s="15"/>
      <c r="BB77" s="12"/>
      <c r="BC77" s="5"/>
      <c r="BD77" s="22"/>
      <c r="BE77" s="118"/>
      <c r="BF77" s="157"/>
      <c r="BG77" s="118"/>
      <c r="BH77" s="158"/>
      <c r="BI77" s="123"/>
      <c r="BJ77" s="124"/>
      <c r="BK77" s="125">
        <f t="shared" si="119"/>
        <v>9000</v>
      </c>
      <c r="BM77" s="158">
        <f t="shared" si="120"/>
        <v>0</v>
      </c>
    </row>
    <row r="78" spans="1:65" x14ac:dyDescent="0.2">
      <c r="A78" s="43" t="s">
        <v>81</v>
      </c>
      <c r="B78" s="42">
        <v>30</v>
      </c>
      <c r="C78" s="41" t="s">
        <v>79</v>
      </c>
      <c r="D78" s="89">
        <v>12597.04</v>
      </c>
      <c r="E78" s="91">
        <v>300</v>
      </c>
      <c r="F78" s="91">
        <v>1600</v>
      </c>
      <c r="G78" s="91">
        <v>1752.97</v>
      </c>
      <c r="H78" s="92">
        <v>2902.06</v>
      </c>
      <c r="I78" s="91">
        <v>4091.9</v>
      </c>
      <c r="J78" s="91">
        <v>2662.16</v>
      </c>
      <c r="K78" s="91">
        <v>5721.89</v>
      </c>
      <c r="L78" s="91">
        <v>4187.76</v>
      </c>
      <c r="M78" s="91">
        <v>5286</v>
      </c>
      <c r="N78" s="91">
        <v>4433.18</v>
      </c>
      <c r="O78" s="91">
        <v>9106.99</v>
      </c>
      <c r="P78" s="91">
        <v>3515</v>
      </c>
      <c r="Q78" s="95">
        <v>22020.55</v>
      </c>
      <c r="R78" s="93">
        <f t="shared" ref="R78:R85" si="121">SUM(D78:Q78)*$R$1</f>
        <v>28014.018499999998</v>
      </c>
      <c r="S78" s="94">
        <f t="shared" ref="S78:S85" si="122">SUM(D78:R78)</f>
        <v>108191.51850000001</v>
      </c>
      <c r="T78" s="33"/>
      <c r="U78" s="18">
        <v>0.1</v>
      </c>
      <c r="V78" s="17"/>
      <c r="W78" s="5">
        <f t="shared" ref="W78:W85" si="123">+D78+E78+F78+G78+H78+I78+J78+K78+L78+M78+N78</f>
        <v>45534.96</v>
      </c>
      <c r="X78" s="32">
        <v>7.7222496011493585E-2</v>
      </c>
      <c r="Y78" s="4">
        <f t="shared" ref="Y78:Y85" si="124">+W78*X78</f>
        <v>3516.3232669835197</v>
      </c>
      <c r="Z78" s="4">
        <f t="shared" ref="Z78:Z85" si="125">+P78-Y78</f>
        <v>-1.3232669835197157</v>
      </c>
      <c r="AA78" s="12"/>
      <c r="AD78" s="16">
        <f t="shared" ref="AD78:AD85" si="126">+R78*$AD$2</f>
        <v>23766.214495639651</v>
      </c>
      <c r="AE78" s="16">
        <f t="shared" ref="AE78:AE85" si="127">+S78+AD78</f>
        <v>131957.73299563967</v>
      </c>
      <c r="AG78" s="43" t="s">
        <v>81</v>
      </c>
      <c r="AH78" s="42">
        <v>30</v>
      </c>
      <c r="AI78" s="41" t="s">
        <v>79</v>
      </c>
      <c r="AJ78" s="16">
        <v>10286</v>
      </c>
      <c r="AL78" s="30">
        <f t="shared" si="112"/>
        <v>23766.214495639651</v>
      </c>
      <c r="AM78" s="30">
        <f t="shared" si="113"/>
        <v>131957.73299563967</v>
      </c>
      <c r="AN78" s="28">
        <f t="shared" si="76"/>
        <v>27766.214495639651</v>
      </c>
      <c r="AO78" s="29">
        <f t="shared" si="77"/>
        <v>135957.73299563967</v>
      </c>
      <c r="AP78" s="28">
        <f t="shared" si="78"/>
        <v>54383.093198255869</v>
      </c>
      <c r="AQ78" s="28">
        <f t="shared" si="79"/>
        <v>33989.433248909911</v>
      </c>
      <c r="AR78" s="5">
        <f t="shared" si="80"/>
        <v>40787.319898691894</v>
      </c>
      <c r="AS78" s="5">
        <f t="shared" si="81"/>
        <v>54383.093198255861</v>
      </c>
      <c r="AT78" s="27" t="s">
        <v>76</v>
      </c>
      <c r="AU78" s="5">
        <f t="shared" si="114"/>
        <v>128946.7717489099</v>
      </c>
      <c r="AV78" s="5">
        <f t="shared" si="115"/>
        <v>45000.394495639652</v>
      </c>
      <c r="AW78" s="5">
        <f t="shared" si="116"/>
        <v>173947.16624454956</v>
      </c>
      <c r="AX78" s="41" t="s">
        <v>79</v>
      </c>
      <c r="AY78" s="42">
        <v>30</v>
      </c>
      <c r="AZ78" s="42">
        <v>30</v>
      </c>
      <c r="BA78" s="41" t="s">
        <v>79</v>
      </c>
      <c r="BB78" s="12">
        <f t="shared" ref="BB78:BB85" si="128">+D78+E78+F78+G78+H78+I78+J78+K78+L78+O78+Q78+R78</f>
        <v>94957.338499999983</v>
      </c>
      <c r="BC78" s="5">
        <f t="shared" ref="BC78:BC85" si="129">+M78+N78+P78</f>
        <v>13234.18</v>
      </c>
      <c r="BD78" s="22">
        <f t="shared" ref="BD78:BD85" si="130">+BB78+BC78</f>
        <v>108191.51849999998</v>
      </c>
      <c r="BE78" s="118">
        <v>27766</v>
      </c>
      <c r="BF78" s="157">
        <f t="shared" si="117"/>
        <v>61180.979966788742</v>
      </c>
      <c r="BG78" s="118">
        <v>13365</v>
      </c>
      <c r="BH78" s="158">
        <f t="shared" si="118"/>
        <v>205217.49846678873</v>
      </c>
      <c r="BI78" s="123">
        <v>12515</v>
      </c>
      <c r="BJ78" s="124"/>
      <c r="BK78" s="125">
        <f t="shared" si="119"/>
        <v>214217.49846678873</v>
      </c>
      <c r="BM78" s="158">
        <f t="shared" si="120"/>
        <v>205217.49846678873</v>
      </c>
    </row>
    <row r="79" spans="1:65" x14ac:dyDescent="0.2">
      <c r="A79" s="45" t="s">
        <v>80</v>
      </c>
      <c r="B79" s="44">
        <v>15</v>
      </c>
      <c r="C79" s="25" t="s">
        <v>79</v>
      </c>
      <c r="D79" s="37">
        <v>6298.52</v>
      </c>
      <c r="E79" s="23">
        <v>300</v>
      </c>
      <c r="F79" s="23">
        <v>1600</v>
      </c>
      <c r="G79" s="20">
        <v>991.36</v>
      </c>
      <c r="H79" s="36">
        <v>2902.06</v>
      </c>
      <c r="I79" s="20">
        <v>4091.9</v>
      </c>
      <c r="J79" s="20">
        <v>1656.84</v>
      </c>
      <c r="K79" s="20">
        <v>2860.94</v>
      </c>
      <c r="L79" s="20">
        <v>2851.83</v>
      </c>
      <c r="M79" s="20">
        <v>2643</v>
      </c>
      <c r="N79" s="20">
        <v>2933.47</v>
      </c>
      <c r="O79" s="20">
        <v>5825.98</v>
      </c>
      <c r="P79" s="20">
        <v>1987</v>
      </c>
      <c r="Q79" s="97">
        <v>13988.09</v>
      </c>
      <c r="R79" s="35">
        <f t="shared" si="121"/>
        <v>17795.287905999998</v>
      </c>
      <c r="S79" s="34">
        <f t="shared" si="122"/>
        <v>68726.277905999988</v>
      </c>
      <c r="T79" s="33"/>
      <c r="U79" s="18">
        <v>0.1</v>
      </c>
      <c r="V79" s="17"/>
      <c r="W79" s="5">
        <f t="shared" si="123"/>
        <v>29129.919999999998</v>
      </c>
      <c r="X79" s="32">
        <v>6.5524609393215805E-2</v>
      </c>
      <c r="Y79" s="4">
        <f t="shared" si="124"/>
        <v>1908.7266296556247</v>
      </c>
      <c r="Z79" s="40">
        <f t="shared" si="125"/>
        <v>78.27337034437528</v>
      </c>
      <c r="AA79" s="12"/>
      <c r="AD79" s="16">
        <f t="shared" si="126"/>
        <v>15096.964021268786</v>
      </c>
      <c r="AE79" s="16">
        <f t="shared" si="127"/>
        <v>83823.241927268769</v>
      </c>
      <c r="AG79" s="45" t="s">
        <v>80</v>
      </c>
      <c r="AH79" s="44">
        <v>15</v>
      </c>
      <c r="AI79" s="25" t="s">
        <v>79</v>
      </c>
      <c r="AJ79" s="16">
        <v>7643</v>
      </c>
      <c r="AL79" s="30">
        <f t="shared" si="112"/>
        <v>15096.964021268786</v>
      </c>
      <c r="AM79" s="30">
        <f t="shared" si="113"/>
        <v>83823.241927268769</v>
      </c>
      <c r="AN79" s="28">
        <f t="shared" ref="AN79:AN94" si="131">+AL79+4000</f>
        <v>19096.964021268788</v>
      </c>
      <c r="AO79" s="29">
        <f t="shared" ref="AO79:AO94" si="132">+S79+AN79</f>
        <v>87823.241927268769</v>
      </c>
      <c r="AP79" s="28">
        <f t="shared" ref="AP79:AP94" si="133">+AO79*$AP$5</f>
        <v>35129.296770907509</v>
      </c>
      <c r="AQ79" s="28">
        <f t="shared" ref="AQ79:AQ94" si="134">+R79*$AQ$2+1000</f>
        <v>21955.810481817196</v>
      </c>
      <c r="AR79" s="5">
        <f t="shared" ref="AR79:AR94" si="135">+R79*$AR$2+$AR$1</f>
        <v>26346.972578180634</v>
      </c>
      <c r="AS79" s="5">
        <f t="shared" ref="AS79:AS94" si="136">+R79*$AS$2+$AS$1</f>
        <v>35129.296770907509</v>
      </c>
      <c r="AT79" s="27" t="s">
        <v>76</v>
      </c>
      <c r="AU79" s="5">
        <f t="shared" si="114"/>
        <v>83118.618387817187</v>
      </c>
      <c r="AV79" s="5">
        <f t="shared" si="115"/>
        <v>30660.434021268789</v>
      </c>
      <c r="AW79" s="5">
        <f t="shared" si="116"/>
        <v>113779.05240908597</v>
      </c>
      <c r="AX79" s="25" t="s">
        <v>79</v>
      </c>
      <c r="AY79" s="44">
        <v>15</v>
      </c>
      <c r="AZ79" s="44">
        <v>15</v>
      </c>
      <c r="BA79" s="25" t="s">
        <v>79</v>
      </c>
      <c r="BB79" s="12">
        <f t="shared" si="128"/>
        <v>61162.807905999995</v>
      </c>
      <c r="BC79" s="5">
        <f t="shared" si="129"/>
        <v>7563.4699999999993</v>
      </c>
      <c r="BD79" s="22">
        <f t="shared" si="130"/>
        <v>68726.277905999988</v>
      </c>
      <c r="BE79" s="118">
        <v>19097</v>
      </c>
      <c r="BF79" s="157">
        <f t="shared" si="117"/>
        <v>39520.458942704841</v>
      </c>
      <c r="BG79" s="118">
        <v>9278</v>
      </c>
      <c r="BH79" s="158">
        <f t="shared" si="118"/>
        <v>133978.73684870484</v>
      </c>
      <c r="BI79" s="123">
        <v>10987</v>
      </c>
      <c r="BJ79" s="124"/>
      <c r="BK79" s="125">
        <f t="shared" si="119"/>
        <v>142978.73684870484</v>
      </c>
      <c r="BM79" s="158">
        <f t="shared" si="120"/>
        <v>133978.73684870484</v>
      </c>
    </row>
    <row r="80" spans="1:65" x14ac:dyDescent="0.2">
      <c r="A80" s="31" t="s">
        <v>80</v>
      </c>
      <c r="B80" s="26">
        <v>24</v>
      </c>
      <c r="C80" s="25" t="s">
        <v>79</v>
      </c>
      <c r="D80" s="37">
        <v>10077.629999999999</v>
      </c>
      <c r="E80" s="23">
        <v>300</v>
      </c>
      <c r="F80" s="23">
        <v>1600</v>
      </c>
      <c r="G80" s="20">
        <v>1448.32</v>
      </c>
      <c r="H80" s="36">
        <v>2902.06</v>
      </c>
      <c r="I80" s="20">
        <v>4091.9</v>
      </c>
      <c r="J80" s="20">
        <v>2260.0300000000002</v>
      </c>
      <c r="K80" s="20">
        <v>5721.89</v>
      </c>
      <c r="L80" s="20">
        <v>3653.38</v>
      </c>
      <c r="M80" s="20">
        <v>4717</v>
      </c>
      <c r="N80" s="20">
        <v>3956.33</v>
      </c>
      <c r="O80" s="20">
        <v>8145.71</v>
      </c>
      <c r="P80" s="20">
        <v>3144</v>
      </c>
      <c r="Q80" s="97">
        <v>19696.27</v>
      </c>
      <c r="R80" s="35">
        <f t="shared" si="121"/>
        <v>25057.053287999999</v>
      </c>
      <c r="S80" s="34">
        <f t="shared" si="122"/>
        <v>96771.573288</v>
      </c>
      <c r="T80" s="33"/>
      <c r="U80" s="18">
        <v>0.1</v>
      </c>
      <c r="V80" s="17"/>
      <c r="W80" s="5">
        <f t="shared" si="123"/>
        <v>40728.54</v>
      </c>
      <c r="X80" s="32">
        <v>7.7195064770917768E-2</v>
      </c>
      <c r="Y80" s="4">
        <f t="shared" si="124"/>
        <v>3144.0422833249154</v>
      </c>
      <c r="Z80" s="4">
        <f t="shared" si="125"/>
        <v>-4.2283324915388221E-2</v>
      </c>
      <c r="AA80" s="12"/>
      <c r="AD80" s="16">
        <f t="shared" si="126"/>
        <v>21257.617969777555</v>
      </c>
      <c r="AE80" s="16">
        <f t="shared" si="127"/>
        <v>118029.19125777755</v>
      </c>
      <c r="AG80" s="31" t="s">
        <v>80</v>
      </c>
      <c r="AH80" s="26">
        <v>24</v>
      </c>
      <c r="AI80" s="25" t="s">
        <v>79</v>
      </c>
      <c r="AJ80" s="16">
        <v>9717</v>
      </c>
      <c r="AL80" s="30">
        <f t="shared" si="112"/>
        <v>21257.617969777555</v>
      </c>
      <c r="AM80" s="30">
        <f t="shared" si="113"/>
        <v>118029.19125777755</v>
      </c>
      <c r="AN80" s="28">
        <f t="shared" si="131"/>
        <v>25257.617969777555</v>
      </c>
      <c r="AO80" s="29">
        <f t="shared" si="132"/>
        <v>122029.19125777755</v>
      </c>
      <c r="AP80" s="28">
        <f t="shared" si="133"/>
        <v>48811.676503111026</v>
      </c>
      <c r="AQ80" s="28">
        <f t="shared" si="134"/>
        <v>30507.297814444388</v>
      </c>
      <c r="AR80" s="5">
        <f t="shared" si="135"/>
        <v>36608.757377333262</v>
      </c>
      <c r="AS80" s="5">
        <f t="shared" si="136"/>
        <v>48811.676503111019</v>
      </c>
      <c r="AT80" s="27" t="s">
        <v>76</v>
      </c>
      <c r="AU80" s="5">
        <f t="shared" si="114"/>
        <v>115461.54110244439</v>
      </c>
      <c r="AV80" s="5">
        <f t="shared" si="115"/>
        <v>41074.947969777553</v>
      </c>
      <c r="AW80" s="5">
        <f t="shared" si="116"/>
        <v>156536.48907222194</v>
      </c>
      <c r="AX80" s="25" t="s">
        <v>79</v>
      </c>
      <c r="AY80" s="26">
        <v>24</v>
      </c>
      <c r="AZ80" s="26">
        <v>24</v>
      </c>
      <c r="BA80" s="25" t="s">
        <v>79</v>
      </c>
      <c r="BB80" s="12">
        <f t="shared" si="128"/>
        <v>84954.243287999998</v>
      </c>
      <c r="BC80" s="5">
        <f t="shared" si="129"/>
        <v>11817.33</v>
      </c>
      <c r="BD80" s="22">
        <f t="shared" si="130"/>
        <v>96771.573288</v>
      </c>
      <c r="BE80" s="118">
        <v>25258</v>
      </c>
      <c r="BF80" s="157">
        <f t="shared" si="117"/>
        <v>54913.136172216276</v>
      </c>
      <c r="BG80" s="118">
        <v>12378</v>
      </c>
      <c r="BH80" s="158">
        <f t="shared" si="118"/>
        <v>184603.70946021628</v>
      </c>
      <c r="BI80" s="123">
        <v>12144</v>
      </c>
      <c r="BJ80" s="124"/>
      <c r="BK80" s="125">
        <f t="shared" si="119"/>
        <v>193603.70946021628</v>
      </c>
      <c r="BM80" s="158">
        <f t="shared" si="120"/>
        <v>184603.70946021628</v>
      </c>
    </row>
    <row r="81" spans="1:65" x14ac:dyDescent="0.2">
      <c r="A81" s="31" t="s">
        <v>80</v>
      </c>
      <c r="B81" s="26">
        <v>28</v>
      </c>
      <c r="C81" s="25" t="s">
        <v>79</v>
      </c>
      <c r="D81" s="37">
        <v>11757.24</v>
      </c>
      <c r="E81" s="23">
        <v>300</v>
      </c>
      <c r="F81" s="23">
        <v>1600</v>
      </c>
      <c r="G81" s="20">
        <v>1651.42</v>
      </c>
      <c r="H81" s="36">
        <v>2902.06</v>
      </c>
      <c r="I81" s="20">
        <v>4091.9</v>
      </c>
      <c r="J81" s="20">
        <v>2528.12</v>
      </c>
      <c r="K81" s="20">
        <v>5721.89</v>
      </c>
      <c r="L81" s="20">
        <v>4009.63</v>
      </c>
      <c r="M81" s="20">
        <v>5096</v>
      </c>
      <c r="N81" s="20">
        <v>4274.2299999999996</v>
      </c>
      <c r="O81" s="20">
        <v>8786.5</v>
      </c>
      <c r="P81" s="20">
        <v>3391</v>
      </c>
      <c r="Q81" s="97">
        <v>21245.64</v>
      </c>
      <c r="R81" s="35">
        <f t="shared" si="121"/>
        <v>27028.057122000002</v>
      </c>
      <c r="S81" s="34">
        <f t="shared" si="122"/>
        <v>104383.687122</v>
      </c>
      <c r="T81" s="33"/>
      <c r="U81" s="18">
        <v>0.1</v>
      </c>
      <c r="V81" s="17"/>
      <c r="W81" s="5">
        <f t="shared" si="123"/>
        <v>43932.490000000005</v>
      </c>
      <c r="X81" s="32">
        <v>7.7225904853054236E-2</v>
      </c>
      <c r="Y81" s="4">
        <f t="shared" si="124"/>
        <v>3392.7262926977569</v>
      </c>
      <c r="Z81" s="4">
        <f t="shared" si="125"/>
        <v>-1.7262926977568895</v>
      </c>
      <c r="AA81" s="12"/>
      <c r="AD81" s="16">
        <f t="shared" si="126"/>
        <v>22929.755792152882</v>
      </c>
      <c r="AE81" s="16">
        <f t="shared" si="127"/>
        <v>127313.44291415288</v>
      </c>
      <c r="AG81" s="31" t="s">
        <v>80</v>
      </c>
      <c r="AH81" s="26">
        <v>28</v>
      </c>
      <c r="AI81" s="25" t="s">
        <v>79</v>
      </c>
      <c r="AJ81" s="16">
        <v>10096</v>
      </c>
      <c r="AL81" s="30">
        <f t="shared" si="112"/>
        <v>22929.755792152882</v>
      </c>
      <c r="AM81" s="30">
        <f t="shared" si="113"/>
        <v>127313.44291415288</v>
      </c>
      <c r="AN81" s="28">
        <f t="shared" si="131"/>
        <v>26929.755792152882</v>
      </c>
      <c r="AO81" s="29">
        <f t="shared" si="132"/>
        <v>131313.4429141529</v>
      </c>
      <c r="AP81" s="28">
        <f t="shared" si="133"/>
        <v>52525.377165661164</v>
      </c>
      <c r="AQ81" s="28">
        <f t="shared" si="134"/>
        <v>32828.360728538224</v>
      </c>
      <c r="AR81" s="5">
        <f t="shared" si="135"/>
        <v>39394.032874245866</v>
      </c>
      <c r="AS81" s="5">
        <f t="shared" si="136"/>
        <v>52525.377165661157</v>
      </c>
      <c r="AT81" s="27" t="s">
        <v>76</v>
      </c>
      <c r="AU81" s="5">
        <f t="shared" si="114"/>
        <v>124450.81785053821</v>
      </c>
      <c r="AV81" s="5">
        <f t="shared" si="115"/>
        <v>43690.985792152882</v>
      </c>
      <c r="AW81" s="5">
        <f t="shared" si="116"/>
        <v>168141.80364269108</v>
      </c>
      <c r="AX81" s="25" t="s">
        <v>79</v>
      </c>
      <c r="AY81" s="26">
        <v>28</v>
      </c>
      <c r="AZ81" s="26">
        <v>28</v>
      </c>
      <c r="BA81" s="25" t="s">
        <v>79</v>
      </c>
      <c r="BB81" s="12">
        <f t="shared" si="128"/>
        <v>91622.457122000007</v>
      </c>
      <c r="BC81" s="5">
        <f t="shared" si="129"/>
        <v>12761.23</v>
      </c>
      <c r="BD81" s="22">
        <f t="shared" si="130"/>
        <v>104383.687122</v>
      </c>
      <c r="BE81" s="118">
        <v>26930</v>
      </c>
      <c r="BF81" s="157">
        <f t="shared" si="117"/>
        <v>59091.049425940233</v>
      </c>
      <c r="BG81" s="118">
        <v>13035</v>
      </c>
      <c r="BH81" s="158">
        <f t="shared" si="118"/>
        <v>198343.73654794024</v>
      </c>
      <c r="BI81" s="123">
        <v>12391</v>
      </c>
      <c r="BJ81" s="124"/>
      <c r="BK81" s="125">
        <f t="shared" si="119"/>
        <v>207343.73654794024</v>
      </c>
      <c r="BM81" s="158">
        <f t="shared" si="120"/>
        <v>198343.73654794024</v>
      </c>
    </row>
    <row r="82" spans="1:65" x14ac:dyDescent="0.2">
      <c r="A82" s="31" t="s">
        <v>80</v>
      </c>
      <c r="B82" s="26">
        <v>35</v>
      </c>
      <c r="C82" s="25" t="s">
        <v>79</v>
      </c>
      <c r="D82" s="37">
        <v>14696.55</v>
      </c>
      <c r="E82" s="23">
        <v>300</v>
      </c>
      <c r="F82" s="23">
        <v>1600</v>
      </c>
      <c r="G82" s="20">
        <v>2006.84</v>
      </c>
      <c r="H82" s="36">
        <v>2902.06</v>
      </c>
      <c r="I82" s="20">
        <v>4091.9</v>
      </c>
      <c r="J82" s="20">
        <v>2997.27</v>
      </c>
      <c r="K82" s="20">
        <v>5721.89</v>
      </c>
      <c r="L82" s="20">
        <v>4633.07</v>
      </c>
      <c r="M82" s="20">
        <v>5760</v>
      </c>
      <c r="N82" s="20">
        <v>4830.5600000000004</v>
      </c>
      <c r="O82" s="20">
        <v>9908.0300000000007</v>
      </c>
      <c r="P82" s="20">
        <v>3825</v>
      </c>
      <c r="Q82" s="97">
        <v>23957.77</v>
      </c>
      <c r="R82" s="35">
        <f t="shared" si="121"/>
        <v>30478.490436</v>
      </c>
      <c r="S82" s="34">
        <f t="shared" si="122"/>
        <v>117709.430436</v>
      </c>
      <c r="T82" s="33"/>
      <c r="U82" s="18">
        <v>0.1</v>
      </c>
      <c r="V82" s="17"/>
      <c r="W82" s="5">
        <f t="shared" si="123"/>
        <v>49540.14</v>
      </c>
      <c r="X82" s="32">
        <v>7.7207057250464173E-2</v>
      </c>
      <c r="Y82" s="4">
        <f t="shared" si="124"/>
        <v>3824.8484251760101</v>
      </c>
      <c r="Z82" s="4">
        <f t="shared" si="125"/>
        <v>0.15157482398990396</v>
      </c>
      <c r="AA82" s="12"/>
      <c r="AD82" s="16">
        <f t="shared" si="126"/>
        <v>25856.995175657423</v>
      </c>
      <c r="AE82" s="16">
        <f t="shared" si="127"/>
        <v>143566.42561165741</v>
      </c>
      <c r="AG82" s="31" t="s">
        <v>80</v>
      </c>
      <c r="AH82" s="26">
        <v>35</v>
      </c>
      <c r="AI82" s="25" t="s">
        <v>79</v>
      </c>
      <c r="AJ82" s="16">
        <v>10760</v>
      </c>
      <c r="AL82" s="30">
        <f t="shared" si="112"/>
        <v>25856.995175657423</v>
      </c>
      <c r="AM82" s="30">
        <f t="shared" si="113"/>
        <v>143566.42561165741</v>
      </c>
      <c r="AN82" s="28">
        <f t="shared" si="131"/>
        <v>29856.995175657423</v>
      </c>
      <c r="AO82" s="29">
        <f t="shared" si="132"/>
        <v>147566.42561165741</v>
      </c>
      <c r="AP82" s="28">
        <f t="shared" si="133"/>
        <v>59026.570244662966</v>
      </c>
      <c r="AQ82" s="28">
        <f t="shared" si="134"/>
        <v>36891.60640291436</v>
      </c>
      <c r="AR82" s="5">
        <f t="shared" si="135"/>
        <v>44269.927683497226</v>
      </c>
      <c r="AS82" s="5">
        <f t="shared" si="136"/>
        <v>59026.570244662973</v>
      </c>
      <c r="AT82" s="27" t="s">
        <v>76</v>
      </c>
      <c r="AU82" s="5">
        <f t="shared" si="114"/>
        <v>140185.47683891436</v>
      </c>
      <c r="AV82" s="5">
        <f t="shared" si="115"/>
        <v>48272.555175657428</v>
      </c>
      <c r="AW82" s="5">
        <f t="shared" si="116"/>
        <v>188458.03201457177</v>
      </c>
      <c r="AX82" s="25" t="s">
        <v>79</v>
      </c>
      <c r="AY82" s="26">
        <v>35</v>
      </c>
      <c r="AZ82" s="26">
        <v>35</v>
      </c>
      <c r="BA82" s="25" t="s">
        <v>79</v>
      </c>
      <c r="BB82" s="12">
        <f t="shared" si="128"/>
        <v>103293.870436</v>
      </c>
      <c r="BC82" s="5">
        <f t="shared" si="129"/>
        <v>14415.560000000001</v>
      </c>
      <c r="BD82" s="22">
        <f t="shared" si="130"/>
        <v>117709.430436</v>
      </c>
      <c r="BE82" s="118">
        <v>29857</v>
      </c>
      <c r="BF82" s="157">
        <f t="shared" si="117"/>
        <v>66404.891654443592</v>
      </c>
      <c r="BG82" s="118">
        <v>14187</v>
      </c>
      <c r="BH82" s="158">
        <f t="shared" si="118"/>
        <v>222398.32209044357</v>
      </c>
      <c r="BI82" s="123">
        <v>12825</v>
      </c>
      <c r="BJ82" s="124"/>
      <c r="BK82" s="125">
        <f t="shared" si="119"/>
        <v>231398.32209044357</v>
      </c>
      <c r="BM82" s="158">
        <f t="shared" si="120"/>
        <v>222398.32209044357</v>
      </c>
    </row>
    <row r="83" spans="1:65" x14ac:dyDescent="0.2">
      <c r="A83" s="31" t="s">
        <v>80</v>
      </c>
      <c r="B83" s="26">
        <v>36</v>
      </c>
      <c r="C83" s="25" t="s">
        <v>79</v>
      </c>
      <c r="D83" s="37">
        <v>15116.45</v>
      </c>
      <c r="E83" s="23">
        <v>300</v>
      </c>
      <c r="F83" s="23">
        <v>1600</v>
      </c>
      <c r="G83" s="20">
        <v>2057.61</v>
      </c>
      <c r="H83" s="36">
        <v>2902.06</v>
      </c>
      <c r="I83" s="20">
        <v>4091.9</v>
      </c>
      <c r="J83" s="20">
        <v>3064.29</v>
      </c>
      <c r="K83" s="20">
        <v>6382.1</v>
      </c>
      <c r="L83" s="20">
        <v>4722.13</v>
      </c>
      <c r="M83" s="20">
        <v>5939</v>
      </c>
      <c r="N83" s="20">
        <v>4981.0200000000004</v>
      </c>
      <c r="O83" s="20">
        <v>10231.31</v>
      </c>
      <c r="P83" s="20">
        <v>3949</v>
      </c>
      <c r="Q83" s="97">
        <v>24739.21</v>
      </c>
      <c r="R83" s="35">
        <f t="shared" si="121"/>
        <v>31472.582351999994</v>
      </c>
      <c r="S83" s="34">
        <f t="shared" si="122"/>
        <v>121548.66235199998</v>
      </c>
      <c r="T83" s="33"/>
      <c r="U83" s="18">
        <v>0.1</v>
      </c>
      <c r="V83" s="17"/>
      <c r="W83" s="5">
        <f t="shared" si="123"/>
        <v>51156.56</v>
      </c>
      <c r="X83" s="32">
        <v>7.7204223183347451E-2</v>
      </c>
      <c r="Y83" s="4">
        <f t="shared" si="124"/>
        <v>3949.5024755323047</v>
      </c>
      <c r="Z83" s="4">
        <f t="shared" si="125"/>
        <v>-0.50247553230474296</v>
      </c>
      <c r="AA83" s="12"/>
      <c r="AD83" s="16">
        <f t="shared" si="126"/>
        <v>26700.351572528412</v>
      </c>
      <c r="AE83" s="16">
        <f t="shared" si="127"/>
        <v>148249.01392452841</v>
      </c>
      <c r="AG83" s="31" t="s">
        <v>80</v>
      </c>
      <c r="AH83" s="26">
        <v>36</v>
      </c>
      <c r="AI83" s="25" t="s">
        <v>79</v>
      </c>
      <c r="AJ83" s="16">
        <v>10939</v>
      </c>
      <c r="AL83" s="30">
        <f t="shared" si="112"/>
        <v>26700.351572528412</v>
      </c>
      <c r="AM83" s="30">
        <f t="shared" si="113"/>
        <v>148249.01392452841</v>
      </c>
      <c r="AN83" s="28">
        <f t="shared" si="131"/>
        <v>30700.351572528412</v>
      </c>
      <c r="AO83" s="29">
        <f t="shared" si="132"/>
        <v>152249.01392452841</v>
      </c>
      <c r="AP83" s="28">
        <f t="shared" si="133"/>
        <v>60899.605569811363</v>
      </c>
      <c r="AQ83" s="28">
        <f t="shared" si="134"/>
        <v>38062.253481132102</v>
      </c>
      <c r="AR83" s="5">
        <f t="shared" si="135"/>
        <v>45674.704177358515</v>
      </c>
      <c r="AS83" s="5">
        <f t="shared" si="136"/>
        <v>60899.605569811356</v>
      </c>
      <c r="AT83" s="27" t="s">
        <v>76</v>
      </c>
      <c r="AU83" s="5">
        <f t="shared" si="114"/>
        <v>144741.89583313209</v>
      </c>
      <c r="AV83" s="5">
        <f t="shared" si="115"/>
        <v>49569.371572528413</v>
      </c>
      <c r="AW83" s="5">
        <f t="shared" si="116"/>
        <v>194311.2674056605</v>
      </c>
      <c r="AX83" s="25" t="s">
        <v>79</v>
      </c>
      <c r="AY83" s="26">
        <v>36</v>
      </c>
      <c r="AZ83" s="26">
        <v>36</v>
      </c>
      <c r="BA83" s="25" t="s">
        <v>79</v>
      </c>
      <c r="BB83" s="12">
        <f t="shared" si="128"/>
        <v>106679.642352</v>
      </c>
      <c r="BC83" s="5">
        <f t="shared" si="129"/>
        <v>14869.02</v>
      </c>
      <c r="BD83" s="22">
        <f t="shared" si="130"/>
        <v>121548.662352</v>
      </c>
      <c r="BE83" s="118">
        <v>30700</v>
      </c>
      <c r="BF83" s="157">
        <f t="shared" si="117"/>
        <v>68512.056399449459</v>
      </c>
      <c r="BG83" s="118">
        <v>14506</v>
      </c>
      <c r="BH83" s="158">
        <f t="shared" si="118"/>
        <v>229327.71875144949</v>
      </c>
      <c r="BI83" s="123">
        <v>12949</v>
      </c>
      <c r="BJ83" s="124"/>
      <c r="BK83" s="125">
        <f t="shared" si="119"/>
        <v>238327.71875144949</v>
      </c>
      <c r="BM83" s="158">
        <f t="shared" si="120"/>
        <v>229327.71875144949</v>
      </c>
    </row>
    <row r="84" spans="1:65" x14ac:dyDescent="0.2">
      <c r="A84" s="31" t="s">
        <v>80</v>
      </c>
      <c r="B84" s="26">
        <v>40</v>
      </c>
      <c r="C84" s="25" t="s">
        <v>79</v>
      </c>
      <c r="D84" s="37">
        <v>16796.05</v>
      </c>
      <c r="E84" s="23">
        <v>300</v>
      </c>
      <c r="F84" s="23">
        <v>1600</v>
      </c>
      <c r="G84" s="20">
        <v>2260.71</v>
      </c>
      <c r="H84" s="36">
        <v>3506.65</v>
      </c>
      <c r="I84" s="20">
        <v>5114.87</v>
      </c>
      <c r="J84" s="20">
        <v>3404.93</v>
      </c>
      <c r="K84" s="20">
        <v>7262.39</v>
      </c>
      <c r="L84" s="20">
        <v>5334.1</v>
      </c>
      <c r="M84" s="20">
        <v>6727</v>
      </c>
      <c r="N84" s="20">
        <v>5642.07</v>
      </c>
      <c r="O84" s="20">
        <v>11589.75</v>
      </c>
      <c r="P84" s="20">
        <v>4474</v>
      </c>
      <c r="Q84" s="97">
        <v>28024.04</v>
      </c>
      <c r="R84" s="35">
        <f t="shared" si="121"/>
        <v>35651.574064</v>
      </c>
      <c r="S84" s="34">
        <f t="shared" si="122"/>
        <v>137688.13406399998</v>
      </c>
      <c r="T84" s="33"/>
      <c r="U84" s="18">
        <v>0.1</v>
      </c>
      <c r="V84" s="17"/>
      <c r="W84" s="5">
        <f t="shared" si="123"/>
        <v>57948.77</v>
      </c>
      <c r="X84" s="32">
        <v>7.7219135131333536E-2</v>
      </c>
      <c r="Y84" s="4">
        <f t="shared" si="124"/>
        <v>4474.7539013245669</v>
      </c>
      <c r="Z84" s="4">
        <f t="shared" si="125"/>
        <v>-0.75390132456686842</v>
      </c>
      <c r="AA84" s="12"/>
      <c r="AD84" s="16">
        <f t="shared" si="126"/>
        <v>30245.677046019213</v>
      </c>
      <c r="AE84" s="16">
        <f t="shared" si="127"/>
        <v>167933.81111001919</v>
      </c>
      <c r="AG84" s="31" t="s">
        <v>80</v>
      </c>
      <c r="AH84" s="26">
        <v>40</v>
      </c>
      <c r="AI84" s="25" t="s">
        <v>79</v>
      </c>
      <c r="AJ84" s="16">
        <v>11727</v>
      </c>
      <c r="AL84" s="30">
        <f t="shared" si="112"/>
        <v>30245.677046019213</v>
      </c>
      <c r="AM84" s="30">
        <f t="shared" si="113"/>
        <v>167933.81111001919</v>
      </c>
      <c r="AN84" s="28">
        <f t="shared" si="131"/>
        <v>34245.677046019213</v>
      </c>
      <c r="AO84" s="29">
        <f t="shared" si="132"/>
        <v>171933.81111001919</v>
      </c>
      <c r="AP84" s="28">
        <f t="shared" si="133"/>
        <v>68773.524444007679</v>
      </c>
      <c r="AQ84" s="28">
        <f t="shared" si="134"/>
        <v>42983.452777504805</v>
      </c>
      <c r="AR84" s="5">
        <f t="shared" si="135"/>
        <v>51580.143333005763</v>
      </c>
      <c r="AS84" s="5">
        <f t="shared" si="136"/>
        <v>68773.524444007693</v>
      </c>
      <c r="AT84" s="27" t="s">
        <v>76</v>
      </c>
      <c r="AU84" s="5">
        <f t="shared" si="114"/>
        <v>163828.51684150478</v>
      </c>
      <c r="AV84" s="5">
        <f t="shared" si="115"/>
        <v>55088.747046019213</v>
      </c>
      <c r="AW84" s="5">
        <f t="shared" si="116"/>
        <v>218917.26388752399</v>
      </c>
      <c r="AX84" s="25" t="s">
        <v>79</v>
      </c>
      <c r="AY84" s="26">
        <v>40</v>
      </c>
      <c r="AZ84" s="26">
        <v>40</v>
      </c>
      <c r="BA84" s="25" t="s">
        <v>79</v>
      </c>
      <c r="BB84" s="12">
        <f t="shared" si="128"/>
        <v>120845.06406399999</v>
      </c>
      <c r="BC84" s="5">
        <f t="shared" si="129"/>
        <v>16843.07</v>
      </c>
      <c r="BD84" s="22">
        <f t="shared" si="130"/>
        <v>137688.13406399998</v>
      </c>
      <c r="BE84" s="118">
        <v>34246</v>
      </c>
      <c r="BF84" s="157">
        <f t="shared" si="117"/>
        <v>77370.215150635006</v>
      </c>
      <c r="BG84" s="118">
        <v>15885</v>
      </c>
      <c r="BH84" s="158">
        <f t="shared" si="118"/>
        <v>258462.34921463497</v>
      </c>
      <c r="BI84" s="123">
        <v>13474</v>
      </c>
      <c r="BJ84" s="124"/>
      <c r="BK84" s="125">
        <f t="shared" si="119"/>
        <v>267462.34921463497</v>
      </c>
      <c r="BM84" s="158">
        <f t="shared" si="120"/>
        <v>258462.34921463497</v>
      </c>
    </row>
    <row r="85" spans="1:65" x14ac:dyDescent="0.2">
      <c r="A85" s="31" t="s">
        <v>80</v>
      </c>
      <c r="B85" s="26">
        <v>44</v>
      </c>
      <c r="C85" s="25" t="s">
        <v>79</v>
      </c>
      <c r="D85" s="37">
        <v>18475.66</v>
      </c>
      <c r="E85" s="23">
        <v>300</v>
      </c>
      <c r="F85" s="23">
        <v>1600</v>
      </c>
      <c r="G85" s="20">
        <v>2463.8000000000002</v>
      </c>
      <c r="H85" s="36">
        <v>3506.65</v>
      </c>
      <c r="I85" s="20">
        <v>5114.87</v>
      </c>
      <c r="J85" s="20">
        <v>3673.02</v>
      </c>
      <c r="K85" s="20">
        <v>7702.54</v>
      </c>
      <c r="L85" s="20">
        <v>5690.35</v>
      </c>
      <c r="M85" s="20">
        <v>7163</v>
      </c>
      <c r="N85" s="20">
        <v>6007.29</v>
      </c>
      <c r="O85" s="20">
        <v>12339.44</v>
      </c>
      <c r="P85" s="20">
        <v>4763</v>
      </c>
      <c r="Q85" s="97">
        <v>29836.799999999999</v>
      </c>
      <c r="R85" s="35">
        <f t="shared" si="121"/>
        <v>37957.565148000001</v>
      </c>
      <c r="S85" s="34">
        <f t="shared" si="122"/>
        <v>146593.98514800001</v>
      </c>
      <c r="T85" s="33"/>
      <c r="U85" s="18">
        <v>0.1</v>
      </c>
      <c r="V85" s="17"/>
      <c r="W85" s="5">
        <f t="shared" si="123"/>
        <v>61697.18</v>
      </c>
      <c r="X85" s="32">
        <v>7.7211165668783333E-2</v>
      </c>
      <c r="Y85" s="4">
        <f t="shared" si="124"/>
        <v>4763.711186276746</v>
      </c>
      <c r="Z85" s="4">
        <f t="shared" si="125"/>
        <v>-0.71118627674604795</v>
      </c>
      <c r="AA85" s="12"/>
      <c r="AD85" s="16">
        <f t="shared" si="126"/>
        <v>32202.007542744508</v>
      </c>
      <c r="AE85" s="16">
        <f t="shared" si="127"/>
        <v>178795.99269074452</v>
      </c>
      <c r="AG85" s="31" t="s">
        <v>80</v>
      </c>
      <c r="AH85" s="26">
        <v>44</v>
      </c>
      <c r="AI85" s="25" t="s">
        <v>79</v>
      </c>
      <c r="AJ85" s="16">
        <v>12163</v>
      </c>
      <c r="AL85" s="30">
        <f t="shared" si="112"/>
        <v>32202.007542744508</v>
      </c>
      <c r="AM85" s="30">
        <f t="shared" si="113"/>
        <v>178795.99269074452</v>
      </c>
      <c r="AN85" s="28">
        <f t="shared" si="131"/>
        <v>36202.007542744512</v>
      </c>
      <c r="AO85" s="29">
        <f t="shared" si="132"/>
        <v>182795.99269074452</v>
      </c>
      <c r="AP85" s="28">
        <f t="shared" si="133"/>
        <v>73118.397076297813</v>
      </c>
      <c r="AQ85" s="28">
        <f t="shared" si="134"/>
        <v>45698.99817268613</v>
      </c>
      <c r="AR85" s="5">
        <f t="shared" si="135"/>
        <v>54838.797807223353</v>
      </c>
      <c r="AS85" s="5">
        <f t="shared" si="136"/>
        <v>73118.397076297813</v>
      </c>
      <c r="AT85" s="27" t="s">
        <v>76</v>
      </c>
      <c r="AU85" s="5">
        <f t="shared" si="114"/>
        <v>174359.69332068611</v>
      </c>
      <c r="AV85" s="5">
        <f t="shared" si="115"/>
        <v>58135.297542744513</v>
      </c>
      <c r="AW85" s="5">
        <f t="shared" si="116"/>
        <v>232494.99086343063</v>
      </c>
      <c r="AX85" s="25" t="s">
        <v>79</v>
      </c>
      <c r="AY85" s="26">
        <v>44</v>
      </c>
      <c r="AZ85" s="26">
        <v>44</v>
      </c>
      <c r="BA85" s="25" t="s">
        <v>79</v>
      </c>
      <c r="BB85" s="12">
        <f t="shared" si="128"/>
        <v>128660.695148</v>
      </c>
      <c r="BC85" s="5">
        <f t="shared" si="129"/>
        <v>17933.29</v>
      </c>
      <c r="BD85" s="22">
        <f t="shared" si="130"/>
        <v>146593.98514800001</v>
      </c>
      <c r="BE85" s="118">
        <v>36202</v>
      </c>
      <c r="BF85" s="157">
        <f t="shared" si="117"/>
        <v>82258.196871736436</v>
      </c>
      <c r="BG85" s="118">
        <v>16647</v>
      </c>
      <c r="BH85" s="158">
        <f t="shared" si="118"/>
        <v>274538.18201973644</v>
      </c>
      <c r="BI85" s="123">
        <v>13763</v>
      </c>
      <c r="BJ85" s="124"/>
      <c r="BK85" s="125">
        <f t="shared" si="119"/>
        <v>283538.18201973644</v>
      </c>
      <c r="BM85" s="158">
        <f t="shared" si="120"/>
        <v>274538.18201973644</v>
      </c>
    </row>
    <row r="86" spans="1:65" ht="15" x14ac:dyDescent="0.25">
      <c r="A86" s="31"/>
      <c r="B86" s="26"/>
      <c r="C86" s="15"/>
      <c r="D86" s="23"/>
      <c r="E86" s="22"/>
      <c r="F86" s="22"/>
      <c r="G86" s="20"/>
      <c r="H86" s="21"/>
      <c r="I86" s="20"/>
      <c r="J86" s="20"/>
      <c r="K86" s="20"/>
      <c r="L86" s="20"/>
      <c r="M86" s="20"/>
      <c r="N86" s="20"/>
      <c r="O86" s="20"/>
      <c r="P86" s="20"/>
      <c r="Q86" s="96">
        <v>0</v>
      </c>
      <c r="R86" s="35"/>
      <c r="S86" s="34"/>
      <c r="T86" s="19"/>
      <c r="U86" s="18"/>
      <c r="V86" s="17"/>
      <c r="W86" s="5"/>
      <c r="X86" s="32"/>
      <c r="Z86" s="4"/>
      <c r="AA86" s="12"/>
      <c r="AD86" s="16"/>
      <c r="AE86" s="16"/>
      <c r="AG86" s="31"/>
      <c r="AH86" s="26"/>
      <c r="AI86" s="15"/>
      <c r="AJ86" s="16"/>
      <c r="AL86" s="30">
        <f t="shared" si="112"/>
        <v>0</v>
      </c>
      <c r="AM86" s="30">
        <f t="shared" si="113"/>
        <v>0</v>
      </c>
      <c r="AN86" s="28">
        <f t="shared" si="131"/>
        <v>4000</v>
      </c>
      <c r="AO86" s="29">
        <f t="shared" si="132"/>
        <v>4000</v>
      </c>
      <c r="AP86" s="28">
        <f t="shared" si="133"/>
        <v>1600</v>
      </c>
      <c r="AQ86" s="28">
        <f t="shared" si="134"/>
        <v>1000</v>
      </c>
      <c r="AR86" s="5">
        <f t="shared" si="135"/>
        <v>1200</v>
      </c>
      <c r="AS86" s="5">
        <f t="shared" si="136"/>
        <v>1600</v>
      </c>
      <c r="AT86" s="27" t="s">
        <v>76</v>
      </c>
      <c r="AU86" s="5">
        <f t="shared" si="114"/>
        <v>1000</v>
      </c>
      <c r="AV86" s="5">
        <f t="shared" si="115"/>
        <v>8000</v>
      </c>
      <c r="AW86" s="5">
        <f t="shared" si="116"/>
        <v>9000</v>
      </c>
      <c r="AX86" s="15"/>
      <c r="AY86" s="26"/>
      <c r="AZ86" s="26"/>
      <c r="BA86" s="15"/>
      <c r="BB86" s="12"/>
      <c r="BC86" s="5"/>
      <c r="BD86" s="22"/>
      <c r="BE86" s="118"/>
      <c r="BF86" s="157"/>
      <c r="BG86" s="118"/>
      <c r="BH86" s="158"/>
      <c r="BI86" s="123"/>
      <c r="BJ86" s="124"/>
      <c r="BK86" s="125"/>
      <c r="BM86" s="158"/>
    </row>
    <row r="87" spans="1:65" x14ac:dyDescent="0.2">
      <c r="A87" s="43" t="s">
        <v>78</v>
      </c>
      <c r="B87" s="42">
        <v>30</v>
      </c>
      <c r="C87" s="41" t="s">
        <v>75</v>
      </c>
      <c r="D87" s="89">
        <v>13472.26</v>
      </c>
      <c r="E87" s="91">
        <v>300</v>
      </c>
      <c r="F87" s="91">
        <v>1600</v>
      </c>
      <c r="G87" s="91">
        <v>1858.8</v>
      </c>
      <c r="H87" s="92">
        <v>2902.06</v>
      </c>
      <c r="I87" s="91">
        <v>4319.2299999999996</v>
      </c>
      <c r="J87" s="91">
        <v>2801.86</v>
      </c>
      <c r="K87" s="91">
        <v>6052</v>
      </c>
      <c r="L87" s="91">
        <v>4405.22</v>
      </c>
      <c r="M87" s="91">
        <v>5565</v>
      </c>
      <c r="N87" s="91">
        <v>4667.3</v>
      </c>
      <c r="O87" s="91">
        <v>9588.75</v>
      </c>
      <c r="P87" s="91">
        <v>3701</v>
      </c>
      <c r="Q87" s="95">
        <v>23185.3</v>
      </c>
      <c r="R87" s="93">
        <f t="shared" ref="R87:R94" si="137">SUM(D87:Q87)*$R$1</f>
        <v>29495.921732000003</v>
      </c>
      <c r="S87" s="94">
        <f t="shared" ref="S87:S94" si="138">SUM(D87:R87)</f>
        <v>113914.70173200002</v>
      </c>
      <c r="T87" s="33"/>
      <c r="U87" s="18">
        <v>0.1</v>
      </c>
      <c r="V87" s="17"/>
      <c r="W87" s="5">
        <f t="shared" ref="W87:W94" si="139">+D87+E87+F87+G87+H87+I87+J87+K87+L87+M87+N87</f>
        <v>47943.73000000001</v>
      </c>
      <c r="X87" s="32">
        <v>7.7222496011493585E-2</v>
      </c>
      <c r="Y87" s="4">
        <f t="shared" ref="Y87:Y94" si="140">+W87*X87</f>
        <v>3702.334498701126</v>
      </c>
      <c r="Z87" s="4">
        <f t="shared" ref="Z87:Z94" si="141">+P87-Y87</f>
        <v>-1.3344987011259946</v>
      </c>
      <c r="AA87" s="12"/>
      <c r="AD87" s="16">
        <f t="shared" ref="AD87:AD94" si="142">+R87*$AD$2</f>
        <v>25023.414710364068</v>
      </c>
      <c r="AE87" s="16">
        <f t="shared" ref="AE87:AE94" si="143">+S87+AD87</f>
        <v>138938.11644236409</v>
      </c>
      <c r="AG87" s="43" t="s">
        <v>78</v>
      </c>
      <c r="AH87" s="42">
        <v>30</v>
      </c>
      <c r="AI87" s="41" t="s">
        <v>75</v>
      </c>
      <c r="AJ87" s="16">
        <v>10565</v>
      </c>
      <c r="AL87" s="30">
        <f t="shared" si="112"/>
        <v>25023.414710364068</v>
      </c>
      <c r="AM87" s="30">
        <f t="shared" si="113"/>
        <v>138938.11644236409</v>
      </c>
      <c r="AN87" s="28">
        <f t="shared" si="131"/>
        <v>29023.414710364068</v>
      </c>
      <c r="AO87" s="29">
        <f t="shared" si="132"/>
        <v>142938.11644236409</v>
      </c>
      <c r="AP87" s="28">
        <f t="shared" si="133"/>
        <v>57175.246576945639</v>
      </c>
      <c r="AQ87" s="28">
        <f t="shared" si="134"/>
        <v>35734.529110591022</v>
      </c>
      <c r="AR87" s="5">
        <f t="shared" si="135"/>
        <v>42881.43493270922</v>
      </c>
      <c r="AS87" s="5">
        <f t="shared" si="136"/>
        <v>57175.246576945632</v>
      </c>
      <c r="AT87" s="27" t="s">
        <v>76</v>
      </c>
      <c r="AU87" s="5">
        <f t="shared" si="114"/>
        <v>135715.93084259101</v>
      </c>
      <c r="AV87" s="5">
        <f t="shared" si="115"/>
        <v>46956.714710364067</v>
      </c>
      <c r="AW87" s="5">
        <f t="shared" si="116"/>
        <v>182672.64555295507</v>
      </c>
      <c r="AX87" s="41" t="s">
        <v>75</v>
      </c>
      <c r="AY87" s="42">
        <v>30</v>
      </c>
      <c r="AZ87" s="42">
        <v>30</v>
      </c>
      <c r="BA87" s="41" t="s">
        <v>75</v>
      </c>
      <c r="BB87" s="12">
        <f t="shared" ref="BB87:BB94" si="144">+D87+E87+F87+G87+H87+I87+J87+K87+L87+O87+Q87+R87</f>
        <v>99981.401732000013</v>
      </c>
      <c r="BC87" s="5">
        <f t="shared" ref="BC87:BC94" si="145">+M87+N87+P87</f>
        <v>13933.3</v>
      </c>
      <c r="BD87" s="22">
        <f t="shared" ref="BD87:BD94" si="146">+BB87+BC87</f>
        <v>113914.70173200002</v>
      </c>
      <c r="BE87" s="118">
        <v>29024</v>
      </c>
      <c r="BF87" s="157">
        <f t="shared" si="117"/>
        <v>64322.152524096498</v>
      </c>
      <c r="BG87" s="118">
        <v>13853</v>
      </c>
      <c r="BH87" s="158">
        <f t="shared" si="118"/>
        <v>215548.85425609653</v>
      </c>
      <c r="BI87" s="123">
        <v>12702</v>
      </c>
      <c r="BJ87" s="124"/>
      <c r="BK87" s="125">
        <f t="shared" si="119"/>
        <v>224548.85425609653</v>
      </c>
      <c r="BM87" s="158">
        <f t="shared" si="120"/>
        <v>215548.85425609653</v>
      </c>
    </row>
    <row r="88" spans="1:65" x14ac:dyDescent="0.2">
      <c r="A88" s="31" t="s">
        <v>77</v>
      </c>
      <c r="B88" s="26">
        <v>15</v>
      </c>
      <c r="C88" s="25" t="s">
        <v>75</v>
      </c>
      <c r="D88" s="37">
        <v>6736.13</v>
      </c>
      <c r="E88" s="23">
        <v>300</v>
      </c>
      <c r="F88" s="23">
        <v>1600</v>
      </c>
      <c r="G88" s="20">
        <v>1044.27</v>
      </c>
      <c r="H88" s="36">
        <v>2902.06</v>
      </c>
      <c r="I88" s="20">
        <v>4319.2299999999996</v>
      </c>
      <c r="J88" s="20">
        <v>1726.68</v>
      </c>
      <c r="K88" s="20">
        <v>3026.6</v>
      </c>
      <c r="L88" s="20">
        <v>2976.47</v>
      </c>
      <c r="M88" s="20">
        <v>2782</v>
      </c>
      <c r="N88" s="20">
        <v>3067.08</v>
      </c>
      <c r="O88" s="20">
        <v>6096.1</v>
      </c>
      <c r="P88" s="20">
        <v>2085</v>
      </c>
      <c r="Q88" s="97">
        <v>14638.89</v>
      </c>
      <c r="R88" s="35">
        <f t="shared" si="137"/>
        <v>18623.198194000001</v>
      </c>
      <c r="S88" s="34">
        <f t="shared" si="138"/>
        <v>71923.708194000006</v>
      </c>
      <c r="T88" s="33"/>
      <c r="U88" s="18">
        <v>0.1</v>
      </c>
      <c r="V88" s="17"/>
      <c r="W88" s="5">
        <f t="shared" si="139"/>
        <v>30480.520000000004</v>
      </c>
      <c r="X88" s="32">
        <v>6.5524609393215805E-2</v>
      </c>
      <c r="Y88" s="4">
        <f t="shared" si="140"/>
        <v>1997.2241671021025</v>
      </c>
      <c r="Z88" s="40">
        <f t="shared" si="141"/>
        <v>87.775832897897544</v>
      </c>
      <c r="AA88" s="12"/>
      <c r="AD88" s="16">
        <f t="shared" si="142"/>
        <v>15799.337138062254</v>
      </c>
      <c r="AE88" s="16">
        <f t="shared" si="143"/>
        <v>87723.045332062262</v>
      </c>
      <c r="AG88" s="31" t="s">
        <v>77</v>
      </c>
      <c r="AH88" s="26">
        <v>15</v>
      </c>
      <c r="AI88" s="25" t="s">
        <v>75</v>
      </c>
      <c r="AJ88" s="16">
        <v>7782</v>
      </c>
      <c r="AL88" s="30">
        <f t="shared" si="112"/>
        <v>15799.337138062254</v>
      </c>
      <c r="AM88" s="30">
        <f t="shared" si="113"/>
        <v>87723.045332062262</v>
      </c>
      <c r="AN88" s="28">
        <f t="shared" si="131"/>
        <v>19799.337138062256</v>
      </c>
      <c r="AO88" s="29">
        <f t="shared" si="132"/>
        <v>91723.045332062262</v>
      </c>
      <c r="AP88" s="28">
        <f t="shared" si="133"/>
        <v>36689.218132824906</v>
      </c>
      <c r="AQ88" s="28">
        <f t="shared" si="134"/>
        <v>22930.761333015565</v>
      </c>
      <c r="AR88" s="5">
        <f t="shared" si="135"/>
        <v>27516.913599618678</v>
      </c>
      <c r="AS88" s="5">
        <f t="shared" si="136"/>
        <v>36689.218132824906</v>
      </c>
      <c r="AT88" s="27" t="s">
        <v>76</v>
      </c>
      <c r="AU88" s="5">
        <f t="shared" si="114"/>
        <v>86920.389527015563</v>
      </c>
      <c r="AV88" s="5">
        <f t="shared" si="115"/>
        <v>31733.417138062257</v>
      </c>
      <c r="AW88" s="5">
        <f t="shared" si="116"/>
        <v>118653.80666507782</v>
      </c>
      <c r="AX88" s="25" t="s">
        <v>75</v>
      </c>
      <c r="AY88" s="26">
        <v>15</v>
      </c>
      <c r="AZ88" s="26">
        <v>15</v>
      </c>
      <c r="BA88" s="25" t="s">
        <v>75</v>
      </c>
      <c r="BB88" s="12">
        <f t="shared" si="144"/>
        <v>63989.628194000004</v>
      </c>
      <c r="BC88" s="5">
        <f t="shared" si="145"/>
        <v>7934.08</v>
      </c>
      <c r="BD88" s="22">
        <f t="shared" si="146"/>
        <v>71923.708194000006</v>
      </c>
      <c r="BE88" s="118">
        <v>19799</v>
      </c>
      <c r="BF88" s="157">
        <f t="shared" si="117"/>
        <v>41275.370478371406</v>
      </c>
      <c r="BG88" s="118">
        <v>9534</v>
      </c>
      <c r="BH88" s="158">
        <f t="shared" si="118"/>
        <v>139750.0786723714</v>
      </c>
      <c r="BI88" s="123">
        <v>11085</v>
      </c>
      <c r="BJ88" s="124"/>
      <c r="BK88" s="125">
        <f t="shared" si="119"/>
        <v>148750.0786723714</v>
      </c>
      <c r="BM88" s="158">
        <f t="shared" si="120"/>
        <v>139750.0786723714</v>
      </c>
    </row>
    <row r="89" spans="1:65" x14ac:dyDescent="0.2">
      <c r="A89" s="31" t="s">
        <v>77</v>
      </c>
      <c r="B89" s="26">
        <v>24</v>
      </c>
      <c r="C89" s="25" t="s">
        <v>75</v>
      </c>
      <c r="D89" s="37">
        <v>10777.81</v>
      </c>
      <c r="E89" s="38">
        <v>300</v>
      </c>
      <c r="F89" s="38">
        <v>1600</v>
      </c>
      <c r="G89" s="38">
        <v>1532.99</v>
      </c>
      <c r="H89" s="39">
        <v>2902.06</v>
      </c>
      <c r="I89" s="20">
        <v>4319.2299999999996</v>
      </c>
      <c r="J89" s="38">
        <v>2371.79</v>
      </c>
      <c r="K89" s="20">
        <v>6052</v>
      </c>
      <c r="L89" s="20">
        <v>3833.72</v>
      </c>
      <c r="M89" s="20">
        <v>4957</v>
      </c>
      <c r="N89" s="20">
        <v>4157.32</v>
      </c>
      <c r="O89" s="20">
        <v>8560.7800000000007</v>
      </c>
      <c r="P89" s="20">
        <v>3304</v>
      </c>
      <c r="Q89" s="97">
        <v>20699.91</v>
      </c>
      <c r="R89" s="35">
        <f t="shared" si="137"/>
        <v>26333.792333999998</v>
      </c>
      <c r="S89" s="34">
        <f t="shared" si="138"/>
        <v>101702.402334</v>
      </c>
      <c r="T89" s="33"/>
      <c r="U89" s="18">
        <v>0.1</v>
      </c>
      <c r="V89" s="17"/>
      <c r="W89" s="5">
        <f t="shared" si="139"/>
        <v>42803.92</v>
      </c>
      <c r="X89" s="32">
        <v>7.7195064770917768E-2</v>
      </c>
      <c r="Y89" s="4">
        <f t="shared" si="140"/>
        <v>3304.2513768491822</v>
      </c>
      <c r="Z89" s="4">
        <f t="shared" si="141"/>
        <v>-0.25137684918217928</v>
      </c>
      <c r="AA89" s="12"/>
      <c r="AD89" s="16">
        <f t="shared" si="142"/>
        <v>22340.763325100081</v>
      </c>
      <c r="AE89" s="16">
        <f t="shared" si="143"/>
        <v>124043.16565910008</v>
      </c>
      <c r="AG89" s="31" t="s">
        <v>77</v>
      </c>
      <c r="AH89" s="26">
        <v>24</v>
      </c>
      <c r="AI89" s="25" t="s">
        <v>75</v>
      </c>
      <c r="AJ89" s="16">
        <v>9957</v>
      </c>
      <c r="AL89" s="30">
        <f t="shared" si="112"/>
        <v>22340.763325100081</v>
      </c>
      <c r="AM89" s="30">
        <f t="shared" si="113"/>
        <v>124043.16565910008</v>
      </c>
      <c r="AN89" s="28">
        <f t="shared" si="131"/>
        <v>26340.763325100081</v>
      </c>
      <c r="AO89" s="29">
        <f t="shared" si="132"/>
        <v>128043.16565910008</v>
      </c>
      <c r="AP89" s="28">
        <f t="shared" si="133"/>
        <v>51217.266263640035</v>
      </c>
      <c r="AQ89" s="28">
        <f t="shared" si="134"/>
        <v>32010.79141477502</v>
      </c>
      <c r="AR89" s="5">
        <f t="shared" si="135"/>
        <v>38412.949697730022</v>
      </c>
      <c r="AS89" s="5">
        <f t="shared" si="136"/>
        <v>51217.266263640027</v>
      </c>
      <c r="AT89" s="27" t="s">
        <v>76</v>
      </c>
      <c r="AU89" s="5">
        <f t="shared" si="114"/>
        <v>121294.87374877502</v>
      </c>
      <c r="AV89" s="5">
        <f t="shared" si="115"/>
        <v>42759.08332510008</v>
      </c>
      <c r="AW89" s="5">
        <f t="shared" si="116"/>
        <v>164053.95707387509</v>
      </c>
      <c r="AX89" s="25" t="s">
        <v>75</v>
      </c>
      <c r="AY89" s="26">
        <v>24</v>
      </c>
      <c r="AZ89" s="26">
        <v>24</v>
      </c>
      <c r="BA89" s="25" t="s">
        <v>75</v>
      </c>
      <c r="BB89" s="12">
        <f t="shared" si="144"/>
        <v>89284.082333999992</v>
      </c>
      <c r="BC89" s="5">
        <f t="shared" si="145"/>
        <v>12418.32</v>
      </c>
      <c r="BD89" s="22">
        <f t="shared" si="146"/>
        <v>101702.40233399998</v>
      </c>
      <c r="BE89" s="118">
        <v>26341</v>
      </c>
      <c r="BF89" s="157">
        <f t="shared" si="117"/>
        <v>57619.424658223485</v>
      </c>
      <c r="BG89" s="118">
        <v>12798</v>
      </c>
      <c r="BH89" s="158">
        <f t="shared" si="118"/>
        <v>193503.82699222348</v>
      </c>
      <c r="BI89" s="123">
        <v>12304</v>
      </c>
      <c r="BJ89" s="124"/>
      <c r="BK89" s="125">
        <f t="shared" si="119"/>
        <v>202503.82699222348</v>
      </c>
      <c r="BM89" s="158">
        <f t="shared" si="120"/>
        <v>193503.82699222348</v>
      </c>
    </row>
    <row r="90" spans="1:65" s="3" customFormat="1" x14ac:dyDescent="0.2">
      <c r="A90" s="31" t="s">
        <v>77</v>
      </c>
      <c r="B90" s="26">
        <v>28</v>
      </c>
      <c r="C90" s="25" t="s">
        <v>75</v>
      </c>
      <c r="D90" s="37">
        <v>12574.11</v>
      </c>
      <c r="E90" s="23">
        <v>300</v>
      </c>
      <c r="F90" s="23">
        <v>1600</v>
      </c>
      <c r="G90" s="20">
        <v>1750.19</v>
      </c>
      <c r="H90" s="36">
        <v>2902.06</v>
      </c>
      <c r="I90" s="20">
        <v>4319.2299999999996</v>
      </c>
      <c r="J90" s="20">
        <v>2658.5</v>
      </c>
      <c r="K90" s="20">
        <v>6052</v>
      </c>
      <c r="L90" s="20">
        <v>4214.72</v>
      </c>
      <c r="M90" s="20">
        <v>5362</v>
      </c>
      <c r="N90" s="20">
        <v>4497.3100000000004</v>
      </c>
      <c r="O90" s="20">
        <v>9246.02</v>
      </c>
      <c r="P90" s="20">
        <v>3569</v>
      </c>
      <c r="Q90" s="97">
        <v>22356.799999999999</v>
      </c>
      <c r="R90" s="35">
        <f t="shared" si="137"/>
        <v>28441.837835999999</v>
      </c>
      <c r="S90" s="34">
        <f t="shared" si="138"/>
        <v>109843.77783599999</v>
      </c>
      <c r="T90" s="33"/>
      <c r="U90" s="18">
        <v>0.1</v>
      </c>
      <c r="V90" s="17"/>
      <c r="W90" s="5">
        <f t="shared" si="139"/>
        <v>46230.119999999995</v>
      </c>
      <c r="X90" s="32">
        <v>7.7225904853054236E-2</v>
      </c>
      <c r="Y90" s="4">
        <f t="shared" si="140"/>
        <v>3570.1628484652792</v>
      </c>
      <c r="Z90" s="4">
        <f t="shared" si="141"/>
        <v>-1.1628484652792395</v>
      </c>
      <c r="AA90" s="12"/>
      <c r="AD90" s="16">
        <f t="shared" si="142"/>
        <v>24129.162999609482</v>
      </c>
      <c r="AE90" s="16">
        <f t="shared" si="143"/>
        <v>133972.94083560948</v>
      </c>
      <c r="AG90" s="31" t="s">
        <v>77</v>
      </c>
      <c r="AH90" s="26">
        <v>28</v>
      </c>
      <c r="AI90" s="25" t="s">
        <v>75</v>
      </c>
      <c r="AJ90" s="16">
        <v>10362</v>
      </c>
      <c r="AL90" s="30">
        <f t="shared" si="112"/>
        <v>24129.162999609482</v>
      </c>
      <c r="AM90" s="30">
        <f t="shared" si="113"/>
        <v>133972.94083560948</v>
      </c>
      <c r="AN90" s="28">
        <f t="shared" si="131"/>
        <v>28129.162999609482</v>
      </c>
      <c r="AO90" s="29">
        <f t="shared" si="132"/>
        <v>137972.94083560948</v>
      </c>
      <c r="AP90" s="28">
        <f t="shared" si="133"/>
        <v>55189.176334243792</v>
      </c>
      <c r="AQ90" s="28">
        <f t="shared" si="134"/>
        <v>34493.23520890237</v>
      </c>
      <c r="AR90" s="5">
        <f t="shared" si="135"/>
        <v>41391.882250682844</v>
      </c>
      <c r="AS90" s="5">
        <f t="shared" si="136"/>
        <v>55189.176334243792</v>
      </c>
      <c r="AT90" s="27" t="s">
        <v>76</v>
      </c>
      <c r="AU90" s="5">
        <f t="shared" si="114"/>
        <v>130908.70304490236</v>
      </c>
      <c r="AV90" s="5">
        <f t="shared" si="115"/>
        <v>45557.472999609483</v>
      </c>
      <c r="AW90" s="5">
        <f t="shared" si="116"/>
        <v>176466.17604451184</v>
      </c>
      <c r="AX90" s="25" t="s">
        <v>75</v>
      </c>
      <c r="AY90" s="26">
        <v>28</v>
      </c>
      <c r="AZ90" s="26">
        <v>28</v>
      </c>
      <c r="BA90" s="25" t="s">
        <v>75</v>
      </c>
      <c r="BB90" s="12">
        <f t="shared" si="144"/>
        <v>96415.467835999996</v>
      </c>
      <c r="BC90" s="5">
        <f t="shared" si="145"/>
        <v>13428.310000000001</v>
      </c>
      <c r="BD90" s="22">
        <f t="shared" si="146"/>
        <v>109843.77783599999</v>
      </c>
      <c r="BE90" s="118">
        <v>28129</v>
      </c>
      <c r="BF90" s="157">
        <f t="shared" si="117"/>
        <v>62087.823496588688</v>
      </c>
      <c r="BG90" s="118">
        <v>13501</v>
      </c>
      <c r="BH90" s="158">
        <f t="shared" si="118"/>
        <v>208199.60133258867</v>
      </c>
      <c r="BI90" s="123">
        <v>12569</v>
      </c>
      <c r="BJ90" s="124"/>
      <c r="BK90" s="125">
        <f t="shared" si="119"/>
        <v>217199.60133258867</v>
      </c>
      <c r="BM90" s="158">
        <f t="shared" si="120"/>
        <v>208199.60133258867</v>
      </c>
    </row>
    <row r="91" spans="1:65" s="3" customFormat="1" x14ac:dyDescent="0.2">
      <c r="A91" s="31" t="s">
        <v>77</v>
      </c>
      <c r="B91" s="26">
        <v>35</v>
      </c>
      <c r="C91" s="25" t="s">
        <v>75</v>
      </c>
      <c r="D91" s="37">
        <v>15717.64</v>
      </c>
      <c r="E91" s="23">
        <v>300</v>
      </c>
      <c r="F91" s="23">
        <v>1600</v>
      </c>
      <c r="G91" s="20">
        <v>2130.31</v>
      </c>
      <c r="H91" s="36">
        <v>2902.06</v>
      </c>
      <c r="I91" s="20">
        <v>4319.2299999999996</v>
      </c>
      <c r="J91" s="20">
        <v>3160.25</v>
      </c>
      <c r="K91" s="20">
        <v>6052</v>
      </c>
      <c r="L91" s="20">
        <v>4881.47</v>
      </c>
      <c r="M91" s="20">
        <v>6072</v>
      </c>
      <c r="N91" s="20">
        <v>5092.29</v>
      </c>
      <c r="O91" s="20">
        <v>10445.450000000001</v>
      </c>
      <c r="P91" s="20">
        <v>4032</v>
      </c>
      <c r="Q91" s="97">
        <v>25257.06</v>
      </c>
      <c r="R91" s="35">
        <f t="shared" si="137"/>
        <v>32131.438944000001</v>
      </c>
      <c r="S91" s="34">
        <f t="shared" si="138"/>
        <v>124093.198944</v>
      </c>
      <c r="T91" s="33"/>
      <c r="U91" s="18">
        <v>0.1</v>
      </c>
      <c r="V91" s="17"/>
      <c r="W91" s="5">
        <f t="shared" si="139"/>
        <v>52227.250000000007</v>
      </c>
      <c r="X91" s="32">
        <v>7.7207057250464173E-2</v>
      </c>
      <c r="Y91" s="4">
        <f t="shared" si="140"/>
        <v>4032.3122807843056</v>
      </c>
      <c r="Z91" s="4">
        <f t="shared" si="141"/>
        <v>-0.31228078430558526</v>
      </c>
      <c r="AA91" s="12"/>
      <c r="AD91" s="16">
        <f t="shared" si="142"/>
        <v>27259.304836849926</v>
      </c>
      <c r="AE91" s="16">
        <f t="shared" si="143"/>
        <v>151352.50378084992</v>
      </c>
      <c r="AG91" s="31" t="s">
        <v>77</v>
      </c>
      <c r="AH91" s="26">
        <v>35</v>
      </c>
      <c r="AI91" s="25" t="s">
        <v>75</v>
      </c>
      <c r="AJ91" s="16">
        <v>11072</v>
      </c>
      <c r="AL91" s="30">
        <f t="shared" si="112"/>
        <v>27259.304836849926</v>
      </c>
      <c r="AM91" s="30">
        <f t="shared" si="113"/>
        <v>151352.50378084992</v>
      </c>
      <c r="AN91" s="28">
        <f t="shared" si="131"/>
        <v>31259.304836849926</v>
      </c>
      <c r="AO91" s="29">
        <f t="shared" si="132"/>
        <v>155352.50378084992</v>
      </c>
      <c r="AP91" s="28">
        <f t="shared" si="133"/>
        <v>62141.001512339972</v>
      </c>
      <c r="AQ91" s="28">
        <f t="shared" si="134"/>
        <v>38838.125945212487</v>
      </c>
      <c r="AR91" s="5">
        <f t="shared" si="135"/>
        <v>46605.751134254977</v>
      </c>
      <c r="AS91" s="5">
        <f t="shared" si="136"/>
        <v>62141.001512339972</v>
      </c>
      <c r="AT91" s="27" t="s">
        <v>76</v>
      </c>
      <c r="AU91" s="5">
        <f t="shared" si="114"/>
        <v>147735.03488921249</v>
      </c>
      <c r="AV91" s="5">
        <f t="shared" si="115"/>
        <v>50455.594836849923</v>
      </c>
      <c r="AW91" s="5">
        <f t="shared" si="116"/>
        <v>198190.62972606241</v>
      </c>
      <c r="AX91" s="25" t="s">
        <v>75</v>
      </c>
      <c r="AY91" s="26">
        <v>35</v>
      </c>
      <c r="AZ91" s="26">
        <v>35</v>
      </c>
      <c r="BA91" s="25" t="s">
        <v>75</v>
      </c>
      <c r="BB91" s="12">
        <f t="shared" si="144"/>
        <v>108896.908944</v>
      </c>
      <c r="BC91" s="5">
        <f t="shared" si="145"/>
        <v>15196.29</v>
      </c>
      <c r="BD91" s="22">
        <f t="shared" si="146"/>
        <v>124093.198944</v>
      </c>
      <c r="BE91" s="118">
        <v>31259</v>
      </c>
      <c r="BF91" s="157">
        <f t="shared" si="117"/>
        <v>69908.626837587042</v>
      </c>
      <c r="BG91" s="118">
        <v>14733</v>
      </c>
      <c r="BH91" s="158">
        <f t="shared" si="118"/>
        <v>233921.82578158705</v>
      </c>
      <c r="BI91" s="123">
        <v>13032</v>
      </c>
      <c r="BJ91" s="124"/>
      <c r="BK91" s="125">
        <f t="shared" si="119"/>
        <v>242921.82578158705</v>
      </c>
      <c r="BM91" s="158">
        <f t="shared" si="120"/>
        <v>233921.82578158705</v>
      </c>
    </row>
    <row r="92" spans="1:65" s="3" customFormat="1" x14ac:dyDescent="0.2">
      <c r="A92" s="31" t="s">
        <v>77</v>
      </c>
      <c r="B92" s="26">
        <v>36</v>
      </c>
      <c r="C92" s="25" t="s">
        <v>75</v>
      </c>
      <c r="D92" s="37">
        <v>16166.71</v>
      </c>
      <c r="E92" s="23">
        <v>300</v>
      </c>
      <c r="F92" s="23">
        <v>1600</v>
      </c>
      <c r="G92" s="20">
        <v>2184.61</v>
      </c>
      <c r="H92" s="36">
        <v>2902.06</v>
      </c>
      <c r="I92" s="20">
        <v>4319.2299999999996</v>
      </c>
      <c r="J92" s="20">
        <v>3231.93</v>
      </c>
      <c r="K92" s="20">
        <v>6712.21</v>
      </c>
      <c r="L92" s="20">
        <v>4976.72</v>
      </c>
      <c r="M92" s="20">
        <v>6258</v>
      </c>
      <c r="N92" s="20">
        <v>5248.27</v>
      </c>
      <c r="O92" s="20">
        <v>10779.95</v>
      </c>
      <c r="P92" s="20">
        <v>4161</v>
      </c>
      <c r="Q92" s="97">
        <v>26065.919999999998</v>
      </c>
      <c r="R92" s="35">
        <f t="shared" si="137"/>
        <v>33160.369533999998</v>
      </c>
      <c r="S92" s="34">
        <f t="shared" si="138"/>
        <v>128066.979534</v>
      </c>
      <c r="T92" s="33"/>
      <c r="U92" s="18">
        <v>0.1</v>
      </c>
      <c r="V92" s="17"/>
      <c r="W92" s="5">
        <f t="shared" si="139"/>
        <v>53899.740000000005</v>
      </c>
      <c r="X92" s="32">
        <v>7.7204223183347451E-2</v>
      </c>
      <c r="Y92" s="4">
        <f t="shared" si="140"/>
        <v>4161.2875564844007</v>
      </c>
      <c r="Z92" s="4">
        <f t="shared" si="141"/>
        <v>-0.28755648440073855</v>
      </c>
      <c r="AA92" s="12"/>
      <c r="AD92" s="16">
        <f t="shared" si="142"/>
        <v>28132.217271853315</v>
      </c>
      <c r="AE92" s="16">
        <f t="shared" si="143"/>
        <v>156199.19680585331</v>
      </c>
      <c r="AG92" s="31" t="s">
        <v>77</v>
      </c>
      <c r="AH92" s="26">
        <v>36</v>
      </c>
      <c r="AI92" s="25" t="s">
        <v>75</v>
      </c>
      <c r="AJ92" s="16">
        <v>11258</v>
      </c>
      <c r="AL92" s="30">
        <f t="shared" si="112"/>
        <v>28132.217271853315</v>
      </c>
      <c r="AM92" s="30">
        <f t="shared" si="113"/>
        <v>156199.19680585331</v>
      </c>
      <c r="AN92" s="28">
        <f t="shared" si="131"/>
        <v>32132.217271853315</v>
      </c>
      <c r="AO92" s="29">
        <f t="shared" si="132"/>
        <v>160199.19680585331</v>
      </c>
      <c r="AP92" s="28">
        <f t="shared" si="133"/>
        <v>64079.678722341327</v>
      </c>
      <c r="AQ92" s="28">
        <f t="shared" si="134"/>
        <v>40049.799201463327</v>
      </c>
      <c r="AR92" s="5">
        <f t="shared" si="135"/>
        <v>48059.759041755991</v>
      </c>
      <c r="AS92" s="5">
        <f t="shared" si="136"/>
        <v>64079.678722341327</v>
      </c>
      <c r="AT92" s="27" t="s">
        <v>76</v>
      </c>
      <c r="AU92" s="5">
        <f t="shared" si="114"/>
        <v>152449.50873546331</v>
      </c>
      <c r="AV92" s="5">
        <f t="shared" si="115"/>
        <v>51799.487271853315</v>
      </c>
      <c r="AW92" s="5">
        <f t="shared" si="116"/>
        <v>204248.99600731663</v>
      </c>
      <c r="AX92" s="25" t="s">
        <v>75</v>
      </c>
      <c r="AY92" s="26">
        <v>36</v>
      </c>
      <c r="AZ92" s="26">
        <v>36</v>
      </c>
      <c r="BA92" s="25" t="s">
        <v>75</v>
      </c>
      <c r="BB92" s="12">
        <f t="shared" si="144"/>
        <v>112399.70953399999</v>
      </c>
      <c r="BC92" s="5">
        <f t="shared" si="145"/>
        <v>15667.27</v>
      </c>
      <c r="BD92" s="22">
        <f t="shared" si="146"/>
        <v>128066.979534</v>
      </c>
      <c r="BE92" s="118">
        <v>32132</v>
      </c>
      <c r="BF92" s="157">
        <f t="shared" si="117"/>
        <v>72089.63870320018</v>
      </c>
      <c r="BG92" s="118">
        <v>15064</v>
      </c>
      <c r="BH92" s="158">
        <f t="shared" si="118"/>
        <v>241094.61823720016</v>
      </c>
      <c r="BI92" s="123">
        <v>13161</v>
      </c>
      <c r="BJ92" s="124"/>
      <c r="BK92" s="125">
        <f t="shared" si="119"/>
        <v>250094.61823720016</v>
      </c>
      <c r="BM92" s="158">
        <f t="shared" si="120"/>
        <v>241094.61823720016</v>
      </c>
    </row>
    <row r="93" spans="1:65" s="3" customFormat="1" x14ac:dyDescent="0.2">
      <c r="A93" s="31" t="s">
        <v>77</v>
      </c>
      <c r="B93" s="26">
        <v>40</v>
      </c>
      <c r="C93" s="25" t="s">
        <v>75</v>
      </c>
      <c r="D93" s="37">
        <v>17963.009999999998</v>
      </c>
      <c r="E93" s="23">
        <v>300</v>
      </c>
      <c r="F93" s="23">
        <v>1600</v>
      </c>
      <c r="G93" s="20">
        <v>2401.81</v>
      </c>
      <c r="H93" s="36">
        <v>3506.65</v>
      </c>
      <c r="I93" s="20">
        <v>5455.86</v>
      </c>
      <c r="J93" s="20">
        <v>3591.19</v>
      </c>
      <c r="K93" s="20">
        <v>7592.5</v>
      </c>
      <c r="L93" s="20">
        <v>5629.35</v>
      </c>
      <c r="M93" s="20">
        <v>7092</v>
      </c>
      <c r="N93" s="20">
        <v>5947.89</v>
      </c>
      <c r="O93" s="20">
        <v>12216.05</v>
      </c>
      <c r="P93" s="20">
        <v>4715</v>
      </c>
      <c r="Q93" s="97">
        <v>29538.33</v>
      </c>
      <c r="R93" s="35">
        <f t="shared" si="137"/>
        <v>37577.844215999998</v>
      </c>
      <c r="S93" s="34">
        <f t="shared" si="138"/>
        <v>145127.48421600001</v>
      </c>
      <c r="T93" s="33"/>
      <c r="U93" s="18">
        <v>0.1</v>
      </c>
      <c r="V93" s="17"/>
      <c r="W93" s="5">
        <f t="shared" si="139"/>
        <v>61080.26</v>
      </c>
      <c r="X93" s="32">
        <v>7.7219135131333536E-2</v>
      </c>
      <c r="Y93" s="4">
        <f t="shared" si="140"/>
        <v>4716.5648507969863</v>
      </c>
      <c r="Z93" s="4">
        <f t="shared" si="141"/>
        <v>-1.5648507969863203</v>
      </c>
      <c r="AA93" s="12"/>
      <c r="AD93" s="16">
        <f t="shared" si="142"/>
        <v>31879.864215881342</v>
      </c>
      <c r="AE93" s="16">
        <f t="shared" si="143"/>
        <v>177007.34843188134</v>
      </c>
      <c r="AG93" s="31" t="s">
        <v>77</v>
      </c>
      <c r="AH93" s="26">
        <v>40</v>
      </c>
      <c r="AI93" s="25" t="s">
        <v>75</v>
      </c>
      <c r="AJ93" s="16">
        <v>12092</v>
      </c>
      <c r="AL93" s="30">
        <f t="shared" si="112"/>
        <v>31879.864215881342</v>
      </c>
      <c r="AM93" s="30">
        <f t="shared" si="113"/>
        <v>177007.34843188134</v>
      </c>
      <c r="AN93" s="28">
        <f t="shared" si="131"/>
        <v>35879.864215881345</v>
      </c>
      <c r="AO93" s="29">
        <f t="shared" si="132"/>
        <v>181007.34843188134</v>
      </c>
      <c r="AP93" s="28">
        <f t="shared" si="133"/>
        <v>72402.939372752546</v>
      </c>
      <c r="AQ93" s="28">
        <f t="shared" si="134"/>
        <v>45251.837107970336</v>
      </c>
      <c r="AR93" s="5">
        <f t="shared" si="135"/>
        <v>54302.204529564398</v>
      </c>
      <c r="AS93" s="5">
        <f t="shared" si="136"/>
        <v>72402.939372752531</v>
      </c>
      <c r="AT93" s="27" t="s">
        <v>76</v>
      </c>
      <c r="AU93" s="5">
        <f t="shared" si="114"/>
        <v>172624.43132397032</v>
      </c>
      <c r="AV93" s="5">
        <f t="shared" si="115"/>
        <v>57634.754215881345</v>
      </c>
      <c r="AW93" s="5">
        <f t="shared" si="116"/>
        <v>230259.18553985166</v>
      </c>
      <c r="AX93" s="25" t="s">
        <v>75</v>
      </c>
      <c r="AY93" s="26">
        <v>40</v>
      </c>
      <c r="AZ93" s="26">
        <v>40</v>
      </c>
      <c r="BA93" s="25" t="s">
        <v>75</v>
      </c>
      <c r="BB93" s="12">
        <f t="shared" si="144"/>
        <v>127372.594216</v>
      </c>
      <c r="BC93" s="5">
        <f t="shared" si="145"/>
        <v>17754.89</v>
      </c>
      <c r="BD93" s="22">
        <f t="shared" si="146"/>
        <v>145127.48421600001</v>
      </c>
      <c r="BE93" s="118">
        <v>35880</v>
      </c>
      <c r="BF93" s="157">
        <f t="shared" si="117"/>
        <v>81453.306953638385</v>
      </c>
      <c r="BG93" s="118">
        <v>16522</v>
      </c>
      <c r="BH93" s="158">
        <f t="shared" si="118"/>
        <v>271890.7911696384</v>
      </c>
      <c r="BI93" s="123">
        <v>13715</v>
      </c>
      <c r="BJ93" s="124"/>
      <c r="BK93" s="125">
        <f t="shared" si="119"/>
        <v>280890.7911696384</v>
      </c>
      <c r="BM93" s="158">
        <f t="shared" si="120"/>
        <v>271890.7911696384</v>
      </c>
    </row>
    <row r="94" spans="1:65" s="3" customFormat="1" x14ac:dyDescent="0.2">
      <c r="A94" s="31" t="s">
        <v>77</v>
      </c>
      <c r="B94" s="26">
        <v>44</v>
      </c>
      <c r="C94" s="25" t="s">
        <v>75</v>
      </c>
      <c r="D94" s="37">
        <v>19759.310000000001</v>
      </c>
      <c r="E94" s="23">
        <v>300</v>
      </c>
      <c r="F94" s="23">
        <v>1600</v>
      </c>
      <c r="G94" s="20">
        <v>2619.02</v>
      </c>
      <c r="H94" s="36">
        <v>3506.65</v>
      </c>
      <c r="I94" s="20">
        <v>5455.86</v>
      </c>
      <c r="J94" s="20">
        <v>3877.9</v>
      </c>
      <c r="K94" s="20">
        <v>8142.68</v>
      </c>
      <c r="L94" s="20">
        <v>6010.35</v>
      </c>
      <c r="M94" s="20">
        <v>7568</v>
      </c>
      <c r="N94" s="20">
        <v>6347.03</v>
      </c>
      <c r="O94" s="20">
        <v>13037.36</v>
      </c>
      <c r="P94" s="20">
        <v>5032</v>
      </c>
      <c r="Q94" s="97">
        <v>31524.15</v>
      </c>
      <c r="R94" s="35">
        <f t="shared" si="137"/>
        <v>40104.240313999995</v>
      </c>
      <c r="S94" s="34">
        <f t="shared" si="138"/>
        <v>154884.55031399999</v>
      </c>
      <c r="T94" s="33"/>
      <c r="U94" s="18">
        <v>0.1</v>
      </c>
      <c r="V94" s="17"/>
      <c r="W94" s="5">
        <f t="shared" si="139"/>
        <v>65186.8</v>
      </c>
      <c r="X94" s="32">
        <v>7.7211165668783333E-2</v>
      </c>
      <c r="Y94" s="4">
        <f t="shared" si="140"/>
        <v>5033.1488142178459</v>
      </c>
      <c r="Z94" s="4">
        <f t="shared" si="141"/>
        <v>-1.1488142178459384</v>
      </c>
      <c r="AA94" s="12"/>
      <c r="AD94" s="16">
        <f t="shared" si="142"/>
        <v>34023.179412378944</v>
      </c>
      <c r="AE94" s="16">
        <f t="shared" si="143"/>
        <v>188907.72972637892</v>
      </c>
      <c r="AG94" s="31" t="s">
        <v>77</v>
      </c>
      <c r="AH94" s="26">
        <v>44</v>
      </c>
      <c r="AI94" s="25" t="s">
        <v>75</v>
      </c>
      <c r="AJ94" s="16">
        <v>12568</v>
      </c>
      <c r="AL94" s="30">
        <f t="shared" si="112"/>
        <v>34023.179412378944</v>
      </c>
      <c r="AM94" s="30">
        <f t="shared" si="113"/>
        <v>188907.72972637892</v>
      </c>
      <c r="AN94" s="28">
        <f t="shared" si="131"/>
        <v>38023.179412378944</v>
      </c>
      <c r="AO94" s="29">
        <f t="shared" si="132"/>
        <v>192907.72972637892</v>
      </c>
      <c r="AP94" s="28">
        <f t="shared" si="133"/>
        <v>77163.091890551572</v>
      </c>
      <c r="AQ94" s="28">
        <f t="shared" si="134"/>
        <v>48226.932431594731</v>
      </c>
      <c r="AR94" s="5">
        <f t="shared" si="135"/>
        <v>57872.318917913675</v>
      </c>
      <c r="AS94" s="5">
        <f t="shared" si="136"/>
        <v>77163.091890551572</v>
      </c>
      <c r="AT94" s="27" t="s">
        <v>76</v>
      </c>
      <c r="AU94" s="5">
        <f t="shared" si="114"/>
        <v>184164.45274559472</v>
      </c>
      <c r="AV94" s="5">
        <f t="shared" si="115"/>
        <v>60970.209412378943</v>
      </c>
      <c r="AW94" s="5">
        <f t="shared" si="116"/>
        <v>245134.66215797368</v>
      </c>
      <c r="AX94" s="25" t="s">
        <v>75</v>
      </c>
      <c r="AY94" s="26">
        <v>44</v>
      </c>
      <c r="AZ94" s="26">
        <v>44</v>
      </c>
      <c r="BA94" s="25" t="s">
        <v>75</v>
      </c>
      <c r="BB94" s="12">
        <f t="shared" si="144"/>
        <v>135937.52031399999</v>
      </c>
      <c r="BC94" s="5">
        <f t="shared" si="145"/>
        <v>18947.03</v>
      </c>
      <c r="BD94" s="22">
        <f t="shared" si="146"/>
        <v>154884.55031399999</v>
      </c>
      <c r="BE94" s="118">
        <v>38023</v>
      </c>
      <c r="BF94" s="157">
        <f t="shared" si="117"/>
        <v>86808.478546871644</v>
      </c>
      <c r="BG94" s="118">
        <v>17355</v>
      </c>
      <c r="BH94" s="158">
        <f t="shared" si="118"/>
        <v>289503.02886087162</v>
      </c>
      <c r="BI94" s="123">
        <v>14032</v>
      </c>
      <c r="BJ94" s="124"/>
      <c r="BK94" s="125">
        <f t="shared" si="119"/>
        <v>298503.02886087162</v>
      </c>
      <c r="BM94" s="158">
        <f t="shared" si="120"/>
        <v>289503.02886087162</v>
      </c>
    </row>
    <row r="95" spans="1:65" s="3" customFormat="1" ht="15" x14ac:dyDescent="0.25">
      <c r="A95" s="24"/>
      <c r="B95" s="14"/>
      <c r="C95" s="15"/>
      <c r="D95" s="23">
        <f>34.92-19</f>
        <v>15.920000000000002</v>
      </c>
      <c r="E95" s="22"/>
      <c r="F95" s="22"/>
      <c r="G95" s="20"/>
      <c r="H95" s="21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19"/>
      <c r="U95" s="18"/>
      <c r="V95" s="17"/>
      <c r="W95" s="5"/>
      <c r="X95" s="5"/>
      <c r="Y95" s="4"/>
      <c r="Z95"/>
      <c r="AA95" s="12"/>
      <c r="AD95" s="16"/>
      <c r="AE95" s="16"/>
      <c r="AO95" s="4"/>
      <c r="AU95" s="5"/>
      <c r="AV95" s="5"/>
      <c r="AX95" s="15"/>
      <c r="AY95" s="14"/>
      <c r="BB95" s="12"/>
      <c r="BC95" s="5"/>
      <c r="BD95" s="5"/>
    </row>
    <row r="96" spans="1:65" s="3" customFormat="1" ht="15" x14ac:dyDescent="0.25">
      <c r="A96" s="24"/>
      <c r="B96" s="14"/>
      <c r="C96" s="77"/>
      <c r="D96" s="83"/>
      <c r="E96" s="84"/>
      <c r="F96" s="84"/>
      <c r="G96" s="85"/>
      <c r="H96" s="86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19"/>
      <c r="U96" s="87"/>
      <c r="V96" s="17"/>
      <c r="W96" s="5"/>
      <c r="X96" s="5"/>
      <c r="Y96" s="4"/>
      <c r="Z96"/>
      <c r="AA96" s="12"/>
      <c r="AD96" s="88"/>
      <c r="AE96" s="88"/>
      <c r="AO96" s="4"/>
      <c r="AU96" s="5"/>
      <c r="AV96" s="5"/>
      <c r="AX96" s="77"/>
      <c r="AY96" s="14"/>
      <c r="BB96" s="12"/>
      <c r="BC96" s="5"/>
      <c r="BD96" s="5"/>
    </row>
    <row r="97" spans="1:56" s="3" customFormat="1" ht="15" x14ac:dyDescent="0.25">
      <c r="A97" s="24"/>
      <c r="B97" s="14"/>
      <c r="C97" s="77"/>
      <c r="D97" s="83"/>
      <c r="E97" s="84"/>
      <c r="F97" s="84"/>
      <c r="G97" s="85"/>
      <c r="H97" s="86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19"/>
      <c r="U97" s="87"/>
      <c r="V97" s="17"/>
      <c r="W97" s="5"/>
      <c r="X97" s="5"/>
      <c r="Y97" s="4"/>
      <c r="Z97"/>
      <c r="AA97" s="12"/>
      <c r="AD97" s="88"/>
      <c r="AE97" s="88"/>
      <c r="AO97" s="4"/>
      <c r="AU97" s="5"/>
      <c r="AV97" s="5"/>
      <c r="AX97" s="77"/>
      <c r="AY97" s="14"/>
      <c r="BB97" s="12"/>
      <c r="BC97" s="5"/>
      <c r="BD97" s="5"/>
    </row>
    <row r="98" spans="1:56" s="3" customFormat="1" ht="15" x14ac:dyDescent="0.25">
      <c r="A98" s="24"/>
      <c r="B98" s="14"/>
      <c r="C98" s="77"/>
      <c r="D98" s="83"/>
      <c r="E98" s="84"/>
      <c r="F98" s="84"/>
      <c r="G98" s="85"/>
      <c r="H98" s="86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19"/>
      <c r="U98" s="87"/>
      <c r="V98" s="17"/>
      <c r="W98" s="5"/>
      <c r="X98" s="5"/>
      <c r="Y98" s="4"/>
      <c r="Z98"/>
      <c r="AA98" s="12"/>
      <c r="AD98" s="88"/>
      <c r="AE98" s="88"/>
      <c r="AO98" s="4"/>
      <c r="AU98" s="5"/>
      <c r="AV98" s="5"/>
      <c r="AX98" s="77"/>
      <c r="AY98" s="14"/>
      <c r="BB98" s="12"/>
      <c r="BC98" s="5"/>
      <c r="BD98" s="5"/>
    </row>
    <row r="99" spans="1:56" x14ac:dyDescent="0.2">
      <c r="A99" s="175" t="s">
        <v>74</v>
      </c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3"/>
      <c r="R99" s="13"/>
      <c r="S99" s="13"/>
      <c r="AR99" s="3"/>
      <c r="AS99" s="3"/>
      <c r="AT99" s="3"/>
      <c r="AU99" s="3"/>
      <c r="AV99" s="3"/>
      <c r="AX99"/>
      <c r="AY99"/>
      <c r="BB99" s="12"/>
      <c r="BC99" s="5"/>
      <c r="BD99" s="5"/>
    </row>
    <row r="100" spans="1:56" x14ac:dyDescent="0.2">
      <c r="A100" s="2" t="s">
        <v>73</v>
      </c>
      <c r="BB100" s="12"/>
      <c r="BC100" s="5"/>
      <c r="BD100" s="5"/>
    </row>
    <row r="101" spans="1:56" x14ac:dyDescent="0.2">
      <c r="A101" s="2" t="s">
        <v>72</v>
      </c>
      <c r="BB101" s="12"/>
      <c r="BC101" s="5"/>
      <c r="BD101" s="5"/>
    </row>
    <row r="103" spans="1:56" x14ac:dyDescent="0.2">
      <c r="A103" s="2" t="s">
        <v>71</v>
      </c>
    </row>
    <row r="104" spans="1:56" x14ac:dyDescent="0.2">
      <c r="A104" s="2" t="s">
        <v>70</v>
      </c>
      <c r="D104" s="176" t="s">
        <v>69</v>
      </c>
      <c r="E104" s="176"/>
      <c r="F104" s="176"/>
      <c r="G104" s="176"/>
      <c r="H104" s="176"/>
    </row>
    <row r="105" spans="1:56" x14ac:dyDescent="0.2">
      <c r="A105" s="2" t="s">
        <v>68</v>
      </c>
    </row>
    <row r="106" spans="1:56" x14ac:dyDescent="0.2">
      <c r="A106" s="2" t="s">
        <v>67</v>
      </c>
      <c r="B106" s="176" t="s">
        <v>66</v>
      </c>
      <c r="C106" s="176"/>
      <c r="D106" s="176"/>
      <c r="E106" s="176"/>
      <c r="F106" s="176"/>
      <c r="G106" s="176"/>
      <c r="AX106"/>
      <c r="AY106"/>
    </row>
    <row r="108" spans="1:56" x14ac:dyDescent="0.2">
      <c r="A108" s="2" t="s">
        <v>65</v>
      </c>
    </row>
    <row r="110" spans="1:56" x14ac:dyDescent="0.2">
      <c r="A110" s="2" t="s">
        <v>64</v>
      </c>
    </row>
    <row r="111" spans="1:56" x14ac:dyDescent="0.2">
      <c r="A111" s="2" t="s">
        <v>63</v>
      </c>
    </row>
    <row r="112" spans="1:56" x14ac:dyDescent="0.2">
      <c r="A112" s="2" t="s">
        <v>62</v>
      </c>
    </row>
    <row r="114" spans="1:51" x14ac:dyDescent="0.2">
      <c r="A114" s="2" t="s">
        <v>61</v>
      </c>
    </row>
    <row r="116" spans="1:51" x14ac:dyDescent="0.2">
      <c r="A116" s="2" t="s">
        <v>60</v>
      </c>
    </row>
    <row r="117" spans="1:51" x14ac:dyDescent="0.2">
      <c r="A117" s="2" t="s">
        <v>59</v>
      </c>
    </row>
    <row r="118" spans="1:51" x14ac:dyDescent="0.2">
      <c r="A118" s="2" t="s">
        <v>58</v>
      </c>
      <c r="B118" s="172" t="s">
        <v>57</v>
      </c>
      <c r="C118" s="172"/>
      <c r="D118" s="172"/>
      <c r="E118" s="172"/>
      <c r="F118" s="172"/>
      <c r="G118" s="172"/>
      <c r="H118" s="172"/>
      <c r="I118" s="172"/>
      <c r="J118" s="11" t="s">
        <v>56</v>
      </c>
      <c r="AX118"/>
      <c r="AY118"/>
    </row>
    <row r="120" spans="1:51" x14ac:dyDescent="0.2">
      <c r="A120" s="2" t="s">
        <v>55</v>
      </c>
      <c r="N120" s="5"/>
      <c r="O120" s="5"/>
      <c r="P120" s="5"/>
      <c r="T120" s="1"/>
      <c r="U120"/>
    </row>
    <row r="122" spans="1:51" x14ac:dyDescent="0.2">
      <c r="A122" s="2" t="s">
        <v>54</v>
      </c>
    </row>
    <row r="124" spans="1:51" x14ac:dyDescent="0.2">
      <c r="A124" s="2" t="s">
        <v>53</v>
      </c>
      <c r="D124" s="11" t="s">
        <v>52</v>
      </c>
    </row>
    <row r="125" spans="1:51" x14ac:dyDescent="0.2">
      <c r="A125" s="2" t="s">
        <v>51</v>
      </c>
      <c r="C125" s="2" t="s">
        <v>49</v>
      </c>
      <c r="K125" s="11"/>
      <c r="AX125" s="2" t="s">
        <v>49</v>
      </c>
    </row>
    <row r="126" spans="1:51" x14ac:dyDescent="0.2">
      <c r="A126" s="2" t="s">
        <v>50</v>
      </c>
      <c r="C126" s="2" t="s">
        <v>49</v>
      </c>
      <c r="AX126" s="2" t="s">
        <v>49</v>
      </c>
    </row>
    <row r="127" spans="1:51" x14ac:dyDescent="0.2">
      <c r="C127" s="2" t="s">
        <v>48</v>
      </c>
      <c r="AX127" s="2" t="s">
        <v>48</v>
      </c>
    </row>
    <row r="128" spans="1:51" x14ac:dyDescent="0.2">
      <c r="C128" s="2" t="s">
        <v>47</v>
      </c>
      <c r="AX128" s="2" t="s">
        <v>47</v>
      </c>
    </row>
    <row r="129" spans="1:50" x14ac:dyDescent="0.2">
      <c r="A129" s="2" t="s">
        <v>46</v>
      </c>
      <c r="C129" s="2" t="s">
        <v>45</v>
      </c>
      <c r="AX129" s="2" t="s">
        <v>45</v>
      </c>
    </row>
    <row r="131" spans="1:50" x14ac:dyDescent="0.2">
      <c r="A131" s="2" t="s">
        <v>44</v>
      </c>
    </row>
    <row r="133" spans="1:50" x14ac:dyDescent="0.2">
      <c r="A133" s="2" t="s">
        <v>43</v>
      </c>
    </row>
    <row r="134" spans="1:50" x14ac:dyDescent="0.2">
      <c r="A134" s="2" t="s">
        <v>42</v>
      </c>
      <c r="C134" s="2" t="s">
        <v>40</v>
      </c>
      <c r="M134" s="172" t="s">
        <v>41</v>
      </c>
      <c r="N134" s="172"/>
      <c r="AX134" s="2" t="s">
        <v>40</v>
      </c>
    </row>
    <row r="135" spans="1:50" x14ac:dyDescent="0.2">
      <c r="A135" s="2" t="s">
        <v>39</v>
      </c>
      <c r="C135" s="2" t="s">
        <v>37</v>
      </c>
      <c r="M135" s="172" t="s">
        <v>38</v>
      </c>
      <c r="N135" s="172"/>
      <c r="AX135" s="2" t="s">
        <v>37</v>
      </c>
    </row>
    <row r="136" spans="1:50" x14ac:dyDescent="0.2">
      <c r="A136" s="2" t="s">
        <v>36</v>
      </c>
      <c r="C136" s="2" t="s">
        <v>34</v>
      </c>
      <c r="M136" s="172" t="s">
        <v>35</v>
      </c>
      <c r="N136" s="172"/>
      <c r="AX136" s="2" t="s">
        <v>34</v>
      </c>
    </row>
    <row r="137" spans="1:50" x14ac:dyDescent="0.2">
      <c r="A137" s="2" t="s">
        <v>26</v>
      </c>
      <c r="C137" s="2" t="s">
        <v>32</v>
      </c>
      <c r="M137" s="172" t="s">
        <v>33</v>
      </c>
      <c r="N137" s="172"/>
      <c r="AX137" s="2" t="s">
        <v>32</v>
      </c>
    </row>
    <row r="138" spans="1:50" x14ac:dyDescent="0.2">
      <c r="A138" s="2" t="s">
        <v>26</v>
      </c>
      <c r="C138" s="2" t="s">
        <v>30</v>
      </c>
      <c r="M138" s="10" t="s">
        <v>31</v>
      </c>
      <c r="N138" s="10"/>
      <c r="AX138" s="2" t="s">
        <v>30</v>
      </c>
    </row>
    <row r="139" spans="1:50" x14ac:dyDescent="0.2">
      <c r="A139" s="2" t="s">
        <v>26</v>
      </c>
      <c r="C139" s="2" t="s">
        <v>28</v>
      </c>
      <c r="M139" s="10" t="s">
        <v>29</v>
      </c>
      <c r="N139" s="10"/>
      <c r="AX139" s="2" t="s">
        <v>28</v>
      </c>
    </row>
    <row r="140" spans="1:50" x14ac:dyDescent="0.2">
      <c r="A140" s="2" t="s">
        <v>26</v>
      </c>
      <c r="C140" s="2" t="s">
        <v>24</v>
      </c>
      <c r="M140" s="10" t="s">
        <v>27</v>
      </c>
      <c r="N140" s="10"/>
      <c r="AX140" s="2" t="s">
        <v>24</v>
      </c>
    </row>
    <row r="141" spans="1:50" x14ac:dyDescent="0.2">
      <c r="A141" s="2" t="s">
        <v>26</v>
      </c>
      <c r="C141" s="2" t="s">
        <v>24</v>
      </c>
      <c r="M141" s="10" t="s">
        <v>25</v>
      </c>
      <c r="AX141" s="2" t="s">
        <v>24</v>
      </c>
    </row>
    <row r="142" spans="1:50" x14ac:dyDescent="0.2">
      <c r="M142" s="10"/>
    </row>
    <row r="143" spans="1:50" x14ac:dyDescent="0.2">
      <c r="A143" s="2" t="s">
        <v>23</v>
      </c>
      <c r="C143" s="2" t="s">
        <v>22</v>
      </c>
      <c r="AX143" s="2" t="s">
        <v>22</v>
      </c>
    </row>
    <row r="144" spans="1:50" x14ac:dyDescent="0.2">
      <c r="A144" s="2" t="s">
        <v>20</v>
      </c>
      <c r="C144" s="2" t="s">
        <v>21</v>
      </c>
      <c r="AX144" s="2" t="s">
        <v>21</v>
      </c>
    </row>
    <row r="145" spans="1:50" x14ac:dyDescent="0.2">
      <c r="A145" s="2" t="s">
        <v>20</v>
      </c>
      <c r="C145" s="2" t="s">
        <v>19</v>
      </c>
      <c r="AX145" s="2" t="s">
        <v>19</v>
      </c>
    </row>
    <row r="147" spans="1:50" x14ac:dyDescent="0.2">
      <c r="A147" s="2" t="s">
        <v>18</v>
      </c>
      <c r="C147" s="2" t="s">
        <v>17</v>
      </c>
      <c r="AX147" s="2" t="s">
        <v>17</v>
      </c>
    </row>
    <row r="149" spans="1:50" x14ac:dyDescent="0.2">
      <c r="A149" s="2" t="s">
        <v>16</v>
      </c>
    </row>
    <row r="150" spans="1:50" x14ac:dyDescent="0.2">
      <c r="A150" s="2" t="s">
        <v>15</v>
      </c>
      <c r="C150" s="2" t="s">
        <v>13</v>
      </c>
      <c r="N150" s="9" t="s">
        <v>14</v>
      </c>
      <c r="AX150" s="2" t="s">
        <v>13</v>
      </c>
    </row>
    <row r="151" spans="1:50" x14ac:dyDescent="0.2">
      <c r="A151" s="2" t="s">
        <v>12</v>
      </c>
      <c r="C151" s="2" t="s">
        <v>10</v>
      </c>
      <c r="N151" s="9" t="s">
        <v>11</v>
      </c>
      <c r="AX151" s="2" t="s">
        <v>10</v>
      </c>
    </row>
    <row r="152" spans="1:50" x14ac:dyDescent="0.2">
      <c r="A152" s="2" t="s">
        <v>9</v>
      </c>
      <c r="C152" s="2" t="s">
        <v>7</v>
      </c>
      <c r="N152" s="9" t="s">
        <v>8</v>
      </c>
      <c r="AX152" s="2" t="s">
        <v>7</v>
      </c>
    </row>
    <row r="153" spans="1:50" x14ac:dyDescent="0.2">
      <c r="A153" s="2" t="s">
        <v>6</v>
      </c>
      <c r="C153" s="2" t="s">
        <v>4</v>
      </c>
      <c r="N153" s="9" t="s">
        <v>5</v>
      </c>
      <c r="AX153" s="2" t="s">
        <v>4</v>
      </c>
    </row>
    <row r="154" spans="1:50" x14ac:dyDescent="0.2">
      <c r="N154" s="9"/>
    </row>
    <row r="155" spans="1:50" x14ac:dyDescent="0.2">
      <c r="A155" s="2" t="s">
        <v>3</v>
      </c>
    </row>
    <row r="157" spans="1:50" x14ac:dyDescent="0.2">
      <c r="A157" s="2" t="s">
        <v>2</v>
      </c>
    </row>
    <row r="159" spans="1:50" x14ac:dyDescent="0.2">
      <c r="A159" s="2" t="s">
        <v>1</v>
      </c>
    </row>
    <row r="160" spans="1:50" x14ac:dyDescent="0.2">
      <c r="A160" s="2" t="s">
        <v>0</v>
      </c>
    </row>
  </sheetData>
  <autoFilter ref="AG5:BD94"/>
  <mergeCells count="10">
    <mergeCell ref="M134:N134"/>
    <mergeCell ref="M135:N135"/>
    <mergeCell ref="M136:N136"/>
    <mergeCell ref="M137:N137"/>
    <mergeCell ref="A1:P1"/>
    <mergeCell ref="A2:P2"/>
    <mergeCell ref="A99:P99"/>
    <mergeCell ref="D104:H104"/>
    <mergeCell ref="B106:G106"/>
    <mergeCell ref="B118:I1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  <headerFooter>
    <oddFooter>Página &amp;P de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2022 </vt:lpstr>
      <vt:lpstr>base enero 2022 </vt:lpstr>
      <vt:lpstr>'MARZO 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CVARGAS</cp:lastModifiedBy>
  <dcterms:created xsi:type="dcterms:W3CDTF">2022-03-24T16:09:38Z</dcterms:created>
  <dcterms:modified xsi:type="dcterms:W3CDTF">2022-03-28T18:09:22Z</dcterms:modified>
</cp:coreProperties>
</file>